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https://d.docs.live.net/cc49a6f129e4d962/เอกสาร/"/>
    </mc:Choice>
  </mc:AlternateContent>
  <xr:revisionPtr revIDLastSave="47" documentId="11_9A12CCB2C8EA1CE7D036F7A3E1C5C1B9B4604693" xr6:coauthVersionLast="47" xr6:coauthVersionMax="47" xr10:uidLastSave="{5DCA465F-5D92-43D5-8273-6B159F7ADBFF}"/>
  <bookViews>
    <workbookView xWindow="-110" yWindow="-110" windowWidth="19420" windowHeight="10300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Titles" localSheetId="13">เพชรบุรี!$1:$6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35" i="22" l="1"/>
  <c r="I635" i="22"/>
  <c r="J634" i="22"/>
  <c r="I634" i="22"/>
  <c r="J633" i="22"/>
  <c r="I633" i="22"/>
  <c r="K633" i="22" s="1"/>
  <c r="J632" i="22"/>
  <c r="I632" i="22"/>
  <c r="J631" i="22"/>
  <c r="I631" i="22"/>
  <c r="J630" i="22"/>
  <c r="I630" i="22"/>
  <c r="J629" i="22"/>
  <c r="I629" i="22"/>
  <c r="J628" i="22"/>
  <c r="I628" i="22"/>
  <c r="J626" i="22"/>
  <c r="I626" i="22"/>
  <c r="J625" i="22"/>
  <c r="I625" i="22"/>
  <c r="J624" i="22"/>
  <c r="I624" i="22"/>
  <c r="J623" i="22"/>
  <c r="I623" i="22"/>
  <c r="J622" i="22"/>
  <c r="I622" i="22"/>
  <c r="J621" i="22"/>
  <c r="I621" i="22"/>
  <c r="J620" i="22"/>
  <c r="I620" i="22"/>
  <c r="J619" i="22"/>
  <c r="I619" i="22"/>
  <c r="J618" i="22"/>
  <c r="I618" i="22"/>
  <c r="J617" i="22"/>
  <c r="I617" i="22"/>
  <c r="J616" i="22"/>
  <c r="I616" i="22"/>
  <c r="J615" i="22"/>
  <c r="I615" i="22"/>
  <c r="J614" i="22"/>
  <c r="I614" i="22"/>
  <c r="J613" i="22"/>
  <c r="I613" i="22"/>
  <c r="J612" i="22"/>
  <c r="I612" i="22"/>
  <c r="J611" i="22"/>
  <c r="I611" i="22"/>
  <c r="K618" i="22" s="1"/>
  <c r="J610" i="22"/>
  <c r="J609" i="22"/>
  <c r="J608" i="22"/>
  <c r="J607" i="22"/>
  <c r="N605" i="22"/>
  <c r="N604" i="22"/>
  <c r="N603" i="22"/>
  <c r="N602" i="22"/>
  <c r="N601" i="22"/>
  <c r="L601" i="22"/>
  <c r="N600" i="22"/>
  <c r="L600" i="22"/>
  <c r="O600" i="22" s="1"/>
  <c r="N599" i="22"/>
  <c r="L599" i="22"/>
  <c r="N598" i="22"/>
  <c r="L598" i="22"/>
  <c r="O598" i="22" s="1"/>
  <c r="N597" i="22"/>
  <c r="L597" i="22"/>
  <c r="J597" i="22"/>
  <c r="I597" i="22"/>
  <c r="J596" i="22"/>
  <c r="I596" i="22"/>
  <c r="K596" i="22" s="1"/>
  <c r="J595" i="22"/>
  <c r="I595" i="22"/>
  <c r="K595" i="22" s="1"/>
  <c r="J594" i="22"/>
  <c r="I594" i="22"/>
  <c r="K594" i="22" s="1"/>
  <c r="J593" i="22"/>
  <c r="I593" i="22"/>
  <c r="K593" i="22" s="1"/>
  <c r="J592" i="22"/>
  <c r="I592" i="22"/>
  <c r="K592" i="22" s="1"/>
  <c r="J591" i="22"/>
  <c r="I591" i="22"/>
  <c r="K591" i="22" s="1"/>
  <c r="J590" i="22"/>
  <c r="I590" i="22"/>
  <c r="K590" i="22" s="1"/>
  <c r="J589" i="22"/>
  <c r="I589" i="22"/>
  <c r="K589" i="22" s="1"/>
  <c r="N588" i="22"/>
  <c r="N587" i="22"/>
  <c r="N586" i="22"/>
  <c r="N585" i="22"/>
  <c r="N584" i="22"/>
  <c r="L584" i="22"/>
  <c r="O584" i="22" s="1"/>
  <c r="N583" i="22"/>
  <c r="L583" i="22"/>
  <c r="O583" i="22" s="1"/>
  <c r="N582" i="22"/>
  <c r="L582" i="22"/>
  <c r="O582" i="22" s="1"/>
  <c r="N581" i="22"/>
  <c r="L581" i="22"/>
  <c r="O581" i="22" s="1"/>
  <c r="N580" i="22"/>
  <c r="L580" i="22"/>
  <c r="O580" i="22" s="1"/>
  <c r="J580" i="22"/>
  <c r="I580" i="22"/>
  <c r="K580" i="22" s="1"/>
  <c r="J579" i="22"/>
  <c r="I579" i="22"/>
  <c r="K579" i="22" s="1"/>
  <c r="J578" i="22"/>
  <c r="I578" i="22"/>
  <c r="K578" i="22" s="1"/>
  <c r="J577" i="22"/>
  <c r="I577" i="22"/>
  <c r="K577" i="22" s="1"/>
  <c r="J576" i="22"/>
  <c r="I576" i="22"/>
  <c r="K576" i="22" s="1"/>
  <c r="J575" i="22"/>
  <c r="I575" i="22"/>
  <c r="K575" i="22" s="1"/>
  <c r="J573" i="22"/>
  <c r="I573" i="22"/>
  <c r="N572" i="22"/>
  <c r="N571" i="22"/>
  <c r="N570" i="22"/>
  <c r="N569" i="22"/>
  <c r="N568" i="22"/>
  <c r="L568" i="22"/>
  <c r="N567" i="22"/>
  <c r="L567" i="22"/>
  <c r="O567" i="22" s="1"/>
  <c r="N566" i="22"/>
  <c r="L566" i="22"/>
  <c r="N565" i="22"/>
  <c r="L565" i="22"/>
  <c r="O565" i="22" s="1"/>
  <c r="N564" i="22"/>
  <c r="L564" i="22"/>
  <c r="J564" i="22"/>
  <c r="I564" i="22"/>
  <c r="J561" i="22"/>
  <c r="I561" i="22"/>
  <c r="K561" i="22" s="1"/>
  <c r="J560" i="22"/>
  <c r="I560" i="22"/>
  <c r="K560" i="22" s="1"/>
  <c r="N559" i="22"/>
  <c r="N558" i="22"/>
  <c r="N557" i="22"/>
  <c r="N556" i="22"/>
  <c r="N555" i="22"/>
  <c r="L555" i="22"/>
  <c r="O555" i="22" s="1"/>
  <c r="N554" i="22"/>
  <c r="L554" i="22"/>
  <c r="O554" i="22" s="1"/>
  <c r="N553" i="22"/>
  <c r="L553" i="22"/>
  <c r="O553" i="22" s="1"/>
  <c r="N552" i="22"/>
  <c r="L552" i="22"/>
  <c r="O552" i="22" s="1"/>
  <c r="N551" i="22"/>
  <c r="L551" i="22"/>
  <c r="O551" i="22" s="1"/>
  <c r="J551" i="22"/>
  <c r="I551" i="22"/>
  <c r="K551" i="22" s="1"/>
  <c r="J550" i="22"/>
  <c r="J549" i="22"/>
  <c r="J548" i="22"/>
  <c r="I548" i="22"/>
  <c r="K548" i="22" s="1"/>
  <c r="J547" i="22"/>
  <c r="I547" i="22"/>
  <c r="J546" i="22"/>
  <c r="J545" i="22"/>
  <c r="J544" i="22"/>
  <c r="J543" i="22"/>
  <c r="N541" i="22"/>
  <c r="N540" i="22"/>
  <c r="N539" i="22"/>
  <c r="N538" i="22"/>
  <c r="N537" i="22"/>
  <c r="L537" i="22"/>
  <c r="N536" i="22"/>
  <c r="L536" i="22"/>
  <c r="O536" i="22" s="1"/>
  <c r="N535" i="22"/>
  <c r="L535" i="22"/>
  <c r="N534" i="22"/>
  <c r="L534" i="22"/>
  <c r="O534" i="22" s="1"/>
  <c r="N533" i="22"/>
  <c r="L533" i="22"/>
  <c r="J533" i="22"/>
  <c r="I533" i="22"/>
  <c r="J532" i="22"/>
  <c r="I532" i="22"/>
  <c r="J531" i="22"/>
  <c r="I531" i="22"/>
  <c r="J530" i="22"/>
  <c r="I530" i="22"/>
  <c r="J529" i="22"/>
  <c r="I529" i="22"/>
  <c r="J528" i="22"/>
  <c r="I528" i="22"/>
  <c r="J527" i="22"/>
  <c r="I527" i="22"/>
  <c r="J526" i="22"/>
  <c r="I526" i="22"/>
  <c r="J525" i="22"/>
  <c r="I525" i="22"/>
  <c r="J524" i="22"/>
  <c r="I524" i="22"/>
  <c r="J523" i="22"/>
  <c r="I523" i="22"/>
  <c r="J522" i="22"/>
  <c r="I522" i="22"/>
  <c r="J521" i="22"/>
  <c r="I521" i="22"/>
  <c r="J520" i="22"/>
  <c r="I520" i="22"/>
  <c r="J519" i="22"/>
  <c r="I519" i="22"/>
  <c r="J518" i="22"/>
  <c r="I518" i="22"/>
  <c r="J517" i="22"/>
  <c r="I517" i="22"/>
  <c r="J516" i="22"/>
  <c r="I516" i="22"/>
  <c r="J515" i="22"/>
  <c r="I515" i="22"/>
  <c r="K515" i="22" s="1"/>
  <c r="J514" i="22"/>
  <c r="I514" i="22"/>
  <c r="K514" i="22" s="1"/>
  <c r="J513" i="22"/>
  <c r="I513" i="22"/>
  <c r="K513" i="22" s="1"/>
  <c r="J512" i="22"/>
  <c r="I512" i="22"/>
  <c r="K512" i="22" s="1"/>
  <c r="J511" i="22"/>
  <c r="I511" i="22"/>
  <c r="K511" i="22" s="1"/>
  <c r="J510" i="22"/>
  <c r="I510" i="22"/>
  <c r="K510" i="22" s="1"/>
  <c r="J509" i="22"/>
  <c r="I509" i="22"/>
  <c r="K509" i="22" s="1"/>
  <c r="J508" i="22"/>
  <c r="I508" i="22"/>
  <c r="K508" i="22" s="1"/>
  <c r="J507" i="22"/>
  <c r="I507" i="22"/>
  <c r="K507" i="22" s="1"/>
  <c r="J506" i="22"/>
  <c r="I506" i="22"/>
  <c r="K506" i="22" s="1"/>
  <c r="J505" i="22"/>
  <c r="I505" i="22"/>
  <c r="K505" i="22" s="1"/>
  <c r="J504" i="22"/>
  <c r="I504" i="22"/>
  <c r="K504" i="22" s="1"/>
  <c r="J503" i="22"/>
  <c r="I503" i="22"/>
  <c r="K503" i="22" s="1"/>
  <c r="J502" i="22"/>
  <c r="I502" i="22"/>
  <c r="K502" i="22" s="1"/>
  <c r="J501" i="22"/>
  <c r="I501" i="22"/>
  <c r="K501" i="22" s="1"/>
  <c r="J500" i="22"/>
  <c r="I500" i="22"/>
  <c r="K500" i="22" s="1"/>
  <c r="J499" i="22"/>
  <c r="I499" i="22"/>
  <c r="K499" i="22" s="1"/>
  <c r="J498" i="22"/>
  <c r="I498" i="22"/>
  <c r="K498" i="22" s="1"/>
  <c r="J497" i="22"/>
  <c r="I497" i="22"/>
  <c r="K497" i="22" s="1"/>
  <c r="J496" i="22"/>
  <c r="I496" i="22"/>
  <c r="K496" i="22" s="1"/>
  <c r="J495" i="22"/>
  <c r="I495" i="22"/>
  <c r="K495" i="22" s="1"/>
  <c r="J494" i="22"/>
  <c r="I494" i="22"/>
  <c r="K494" i="22" s="1"/>
  <c r="J493" i="22"/>
  <c r="I493" i="22"/>
  <c r="K493" i="22" s="1"/>
  <c r="J492" i="22"/>
  <c r="I492" i="22"/>
  <c r="K492" i="22" s="1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J483" i="22"/>
  <c r="I483" i="22"/>
  <c r="K483" i="22" s="1"/>
  <c r="J482" i="22"/>
  <c r="I482" i="22"/>
  <c r="K482" i="22" s="1"/>
  <c r="J481" i="22"/>
  <c r="I481" i="22"/>
  <c r="K481" i="22" s="1"/>
  <c r="J480" i="22"/>
  <c r="I480" i="22"/>
  <c r="K480" i="22" s="1"/>
  <c r="J479" i="22"/>
  <c r="I479" i="22"/>
  <c r="K479" i="22" s="1"/>
  <c r="J478" i="22"/>
  <c r="I478" i="22"/>
  <c r="K478" i="22" s="1"/>
  <c r="J477" i="22"/>
  <c r="I477" i="22"/>
  <c r="K477" i="22" s="1"/>
  <c r="J476" i="22"/>
  <c r="I476" i="22"/>
  <c r="K476" i="22" s="1"/>
  <c r="J475" i="22"/>
  <c r="I475" i="22"/>
  <c r="K475" i="22" s="1"/>
  <c r="J474" i="22"/>
  <c r="I474" i="22"/>
  <c r="K474" i="22" s="1"/>
  <c r="J473" i="22"/>
  <c r="I473" i="22"/>
  <c r="K473" i="22" s="1"/>
  <c r="J472" i="22"/>
  <c r="I472" i="22"/>
  <c r="K472" i="22" s="1"/>
  <c r="J471" i="22"/>
  <c r="I471" i="22"/>
  <c r="K471" i="22" s="1"/>
  <c r="J470" i="22"/>
  <c r="I470" i="22"/>
  <c r="K470" i="22" s="1"/>
  <c r="J469" i="22"/>
  <c r="I469" i="22"/>
  <c r="K469" i="22" s="1"/>
  <c r="J468" i="22"/>
  <c r="I468" i="22"/>
  <c r="K468" i="22" s="1"/>
  <c r="J467" i="22"/>
  <c r="I467" i="22"/>
  <c r="K467" i="22" s="1"/>
  <c r="J466" i="22"/>
  <c r="I466" i="22"/>
  <c r="K466" i="22" s="1"/>
  <c r="J465" i="22"/>
  <c r="I465" i="22"/>
  <c r="K465" i="22" s="1"/>
  <c r="J464" i="22"/>
  <c r="I464" i="22"/>
  <c r="K464" i="22" s="1"/>
  <c r="N463" i="22"/>
  <c r="N462" i="22"/>
  <c r="N461" i="22"/>
  <c r="N460" i="22"/>
  <c r="N459" i="22"/>
  <c r="L459" i="22"/>
  <c r="O459" i="22" s="1"/>
  <c r="N458" i="22"/>
  <c r="L458" i="22"/>
  <c r="O458" i="22" s="1"/>
  <c r="N457" i="22"/>
  <c r="L457" i="22"/>
  <c r="O457" i="22" s="1"/>
  <c r="N456" i="22"/>
  <c r="L456" i="22"/>
  <c r="O456" i="22" s="1"/>
  <c r="N455" i="22"/>
  <c r="L455" i="22"/>
  <c r="O455" i="22" s="1"/>
  <c r="J455" i="22"/>
  <c r="I455" i="22"/>
  <c r="K455" i="22" s="1"/>
  <c r="J454" i="22"/>
  <c r="J453" i="22"/>
  <c r="J452" i="22"/>
  <c r="I452" i="22"/>
  <c r="K452" i="22" s="1"/>
  <c r="J451" i="22"/>
  <c r="I451" i="22"/>
  <c r="K451" i="22" s="1"/>
  <c r="J450" i="22"/>
  <c r="I450" i="22"/>
  <c r="J449" i="22"/>
  <c r="I449" i="22"/>
  <c r="J448" i="22"/>
  <c r="J447" i="22"/>
  <c r="J446" i="22"/>
  <c r="J445" i="22"/>
  <c r="N443" i="22"/>
  <c r="N442" i="22"/>
  <c r="N441" i="22"/>
  <c r="N440" i="22"/>
  <c r="N439" i="22"/>
  <c r="L439" i="22"/>
  <c r="N438" i="22"/>
  <c r="L438" i="22"/>
  <c r="O438" i="22" s="1"/>
  <c r="N437" i="22"/>
  <c r="L437" i="22"/>
  <c r="N436" i="22"/>
  <c r="L436" i="22"/>
  <c r="O436" i="22" s="1"/>
  <c r="N435" i="22"/>
  <c r="L435" i="22"/>
  <c r="J435" i="22"/>
  <c r="I435" i="22"/>
  <c r="J434" i="22"/>
  <c r="J433" i="22"/>
  <c r="J432" i="22"/>
  <c r="I432" i="22"/>
  <c r="K432" i="22" s="1"/>
  <c r="J431" i="22"/>
  <c r="I431" i="22"/>
  <c r="K431" i="22" s="1"/>
  <c r="J430" i="22"/>
  <c r="I430" i="22"/>
  <c r="K430" i="22" s="1"/>
  <c r="J429" i="22"/>
  <c r="I429" i="22"/>
  <c r="J428" i="22"/>
  <c r="I428" i="22"/>
  <c r="J427" i="22"/>
  <c r="I427" i="22"/>
  <c r="J426" i="22"/>
  <c r="I426" i="22"/>
  <c r="J425" i="22"/>
  <c r="I425" i="22"/>
  <c r="K425" i="22" s="1"/>
  <c r="J424" i="22"/>
  <c r="I424" i="22"/>
  <c r="K424" i="22" s="1"/>
  <c r="J423" i="22"/>
  <c r="I423" i="22"/>
  <c r="K423" i="22" s="1"/>
  <c r="J422" i="22"/>
  <c r="I422" i="22"/>
  <c r="K422" i="22" s="1"/>
  <c r="J421" i="22"/>
  <c r="I421" i="22"/>
  <c r="K421" i="22" s="1"/>
  <c r="J420" i="22"/>
  <c r="I420" i="22"/>
  <c r="K420" i="22" s="1"/>
  <c r="J419" i="22"/>
  <c r="I419" i="22"/>
  <c r="K419" i="22" s="1"/>
  <c r="J418" i="22"/>
  <c r="I418" i="22"/>
  <c r="K418" i="22" s="1"/>
  <c r="J417" i="22"/>
  <c r="I417" i="22"/>
  <c r="K417" i="22" s="1"/>
  <c r="J416" i="22"/>
  <c r="I416" i="22"/>
  <c r="J415" i="22"/>
  <c r="J414" i="22"/>
  <c r="J413" i="22"/>
  <c r="J412" i="22"/>
  <c r="N410" i="22"/>
  <c r="N409" i="22"/>
  <c r="N408" i="22"/>
  <c r="N407" i="22"/>
  <c r="N406" i="22"/>
  <c r="L406" i="22"/>
  <c r="N405" i="22"/>
  <c r="L405" i="22"/>
  <c r="O405" i="22" s="1"/>
  <c r="N404" i="22"/>
  <c r="L404" i="22"/>
  <c r="N403" i="22"/>
  <c r="L403" i="22"/>
  <c r="O403" i="22" s="1"/>
  <c r="J402" i="22"/>
  <c r="I402" i="22"/>
  <c r="N401" i="22"/>
  <c r="L401" i="22"/>
  <c r="J401" i="22"/>
  <c r="I401" i="22"/>
  <c r="J400" i="22"/>
  <c r="J399" i="22"/>
  <c r="J398" i="22"/>
  <c r="I398" i="22"/>
  <c r="K398" i="22" s="1"/>
  <c r="J397" i="22"/>
  <c r="I397" i="22"/>
  <c r="K397" i="22" s="1"/>
  <c r="J396" i="22"/>
  <c r="I396" i="22"/>
  <c r="K396" i="22" s="1"/>
  <c r="J394" i="22"/>
  <c r="J393" i="22"/>
  <c r="J392" i="22"/>
  <c r="J391" i="22"/>
  <c r="N389" i="22"/>
  <c r="N388" i="22"/>
  <c r="N387" i="22"/>
  <c r="N386" i="22"/>
  <c r="N385" i="22"/>
  <c r="L385" i="22"/>
  <c r="O385" i="22" s="1"/>
  <c r="N384" i="22"/>
  <c r="L384" i="22"/>
  <c r="O384" i="22" s="1"/>
  <c r="N383" i="22"/>
  <c r="L383" i="22"/>
  <c r="O383" i="22" s="1"/>
  <c r="N382" i="22"/>
  <c r="L382" i="22"/>
  <c r="O382" i="22" s="1"/>
  <c r="J381" i="22"/>
  <c r="I381" i="22"/>
  <c r="K381" i="22" s="1"/>
  <c r="N380" i="22"/>
  <c r="L380" i="22"/>
  <c r="O380" i="22" s="1"/>
  <c r="J380" i="22"/>
  <c r="I380" i="22"/>
  <c r="K380" i="22" s="1"/>
  <c r="J379" i="22"/>
  <c r="J378" i="22"/>
  <c r="J377" i="22"/>
  <c r="I377" i="22"/>
  <c r="K377" i="22" s="1"/>
  <c r="J376" i="22"/>
  <c r="I376" i="22"/>
  <c r="J375" i="22"/>
  <c r="I375" i="22"/>
  <c r="J374" i="22"/>
  <c r="I374" i="22"/>
  <c r="J373" i="22"/>
  <c r="I373" i="22"/>
  <c r="K373" i="22" s="1"/>
  <c r="J372" i="22"/>
  <c r="I372" i="22"/>
  <c r="J371" i="22"/>
  <c r="I371" i="22"/>
  <c r="K371" i="22" s="1"/>
  <c r="J370" i="22"/>
  <c r="I370" i="22"/>
  <c r="J369" i="22"/>
  <c r="I369" i="22"/>
  <c r="K369" i="22" s="1"/>
  <c r="J368" i="22"/>
  <c r="I368" i="22"/>
  <c r="J367" i="22"/>
  <c r="J366" i="22"/>
  <c r="J365" i="22"/>
  <c r="I365" i="22"/>
  <c r="K365" i="22" s="1"/>
  <c r="J364" i="22"/>
  <c r="J363" i="22"/>
  <c r="J362" i="22"/>
  <c r="J361" i="22"/>
  <c r="J360" i="22"/>
  <c r="N358" i="22"/>
  <c r="N357" i="22"/>
  <c r="N356" i="22"/>
  <c r="N355" i="22"/>
  <c r="N354" i="22"/>
  <c r="L354" i="22"/>
  <c r="N353" i="22"/>
  <c r="L353" i="22"/>
  <c r="N352" i="22"/>
  <c r="L352" i="22"/>
  <c r="N351" i="22"/>
  <c r="L351" i="22"/>
  <c r="O351" i="22" s="1"/>
  <c r="J350" i="22"/>
  <c r="I350" i="22"/>
  <c r="N349" i="22"/>
  <c r="L349" i="22"/>
  <c r="J349" i="22"/>
  <c r="I349" i="22"/>
  <c r="N347" i="22"/>
  <c r="L347" i="22"/>
  <c r="J346" i="22"/>
  <c r="I346" i="22"/>
  <c r="K346" i="22" s="1"/>
  <c r="J345" i="22"/>
  <c r="I345" i="22"/>
  <c r="K345" i="22" s="1"/>
  <c r="J344" i="22"/>
  <c r="I344" i="22"/>
  <c r="K344" i="22" s="1"/>
  <c r="J343" i="22"/>
  <c r="I343" i="22"/>
  <c r="K343" i="22" s="1"/>
  <c r="J342" i="22"/>
  <c r="I342" i="22"/>
  <c r="K342" i="22" s="1"/>
  <c r="J341" i="22"/>
  <c r="I341" i="22"/>
  <c r="K341" i="22" s="1"/>
  <c r="J340" i="22"/>
  <c r="I340" i="22"/>
  <c r="K340" i="22" s="1"/>
  <c r="J339" i="22"/>
  <c r="I339" i="22"/>
  <c r="K339" i="22" s="1"/>
  <c r="N337" i="22"/>
  <c r="L337" i="22"/>
  <c r="M337" i="22" s="1"/>
  <c r="M26" i="22" s="1"/>
  <c r="M16" i="22" s="1"/>
  <c r="L335" i="22"/>
  <c r="L334" i="22"/>
  <c r="N333" i="22"/>
  <c r="M333" i="22"/>
  <c r="O332" i="22"/>
  <c r="P330" i="22"/>
  <c r="N330" i="22"/>
  <c r="M330" i="22"/>
  <c r="L330" i="22"/>
  <c r="O330" i="22" s="1"/>
  <c r="J328" i="22"/>
  <c r="I328" i="22"/>
  <c r="K328" i="22" s="1"/>
  <c r="J326" i="22"/>
  <c r="J325" i="22"/>
  <c r="J324" i="22"/>
  <c r="I324" i="22"/>
  <c r="K324" i="22" s="1"/>
  <c r="J323" i="22"/>
  <c r="J322" i="22"/>
  <c r="J321" i="22"/>
  <c r="J320" i="22"/>
  <c r="N318" i="22"/>
  <c r="L318" i="22"/>
  <c r="O318" i="22" s="1"/>
  <c r="L316" i="22"/>
  <c r="L315" i="22"/>
  <c r="N314" i="22"/>
  <c r="M314" i="22"/>
  <c r="M312" i="22" s="1"/>
  <c r="P312" i="22" s="1"/>
  <c r="O313" i="22"/>
  <c r="N311" i="22"/>
  <c r="M311" i="22"/>
  <c r="P311" i="22" s="1"/>
  <c r="L311" i="22"/>
  <c r="O311" i="22" s="1"/>
  <c r="J309" i="22"/>
  <c r="I309" i="22"/>
  <c r="K309" i="22" s="1"/>
  <c r="J308" i="22"/>
  <c r="J307" i="22"/>
  <c r="J306" i="22"/>
  <c r="I306" i="22"/>
  <c r="K306" i="22" s="1"/>
  <c r="J304" i="22"/>
  <c r="I304" i="22"/>
  <c r="K304" i="22" s="1"/>
  <c r="J303" i="22"/>
  <c r="J302" i="22"/>
  <c r="J301" i="22"/>
  <c r="J300" i="22"/>
  <c r="N298" i="22"/>
  <c r="L298" i="22"/>
  <c r="O298" i="22" s="1"/>
  <c r="L296" i="22"/>
  <c r="L295" i="22"/>
  <c r="N294" i="22"/>
  <c r="M294" i="22"/>
  <c r="P294" i="22" s="1"/>
  <c r="O293" i="22"/>
  <c r="O291" i="22"/>
  <c r="N291" i="22"/>
  <c r="M291" i="22"/>
  <c r="P291" i="22" s="1"/>
  <c r="L291" i="22"/>
  <c r="J289" i="22"/>
  <c r="I289" i="22"/>
  <c r="K289" i="22" s="1"/>
  <c r="J287" i="22"/>
  <c r="J286" i="22"/>
  <c r="J285" i="22"/>
  <c r="I285" i="22"/>
  <c r="K285" i="22" s="1"/>
  <c r="J284" i="22"/>
  <c r="J283" i="22"/>
  <c r="J282" i="22"/>
  <c r="J281" i="22"/>
  <c r="N279" i="22"/>
  <c r="L279" i="22"/>
  <c r="O279" i="22" s="1"/>
  <c r="L277" i="22"/>
  <c r="L276" i="22"/>
  <c r="N275" i="22"/>
  <c r="M275" i="22"/>
  <c r="O274" i="22"/>
  <c r="N272" i="22"/>
  <c r="M272" i="22"/>
  <c r="L272" i="22"/>
  <c r="O272" i="22" s="1"/>
  <c r="J270" i="22"/>
  <c r="I270" i="22"/>
  <c r="K270" i="22" s="1"/>
  <c r="J269" i="22"/>
  <c r="J268" i="22"/>
  <c r="J267" i="22"/>
  <c r="I267" i="22"/>
  <c r="K267" i="22" s="1"/>
  <c r="J266" i="22"/>
  <c r="I266" i="22"/>
  <c r="K266" i="22" s="1"/>
  <c r="J265" i="22"/>
  <c r="I265" i="22"/>
  <c r="K265" i="22" s="1"/>
  <c r="J264" i="22"/>
  <c r="I264" i="22"/>
  <c r="K264" i="22" s="1"/>
  <c r="J263" i="22"/>
  <c r="J262" i="22"/>
  <c r="J261" i="22"/>
  <c r="J260" i="22"/>
  <c r="N258" i="22"/>
  <c r="L258" i="22"/>
  <c r="O258" i="22" s="1"/>
  <c r="L256" i="22"/>
  <c r="L255" i="22"/>
  <c r="N254" i="22"/>
  <c r="M254" i="22"/>
  <c r="P254" i="22" s="1"/>
  <c r="O253" i="22"/>
  <c r="P251" i="22"/>
  <c r="O251" i="22"/>
  <c r="N251" i="22"/>
  <c r="M251" i="22"/>
  <c r="L251" i="22"/>
  <c r="J249" i="22"/>
  <c r="I249" i="22"/>
  <c r="K249" i="22" s="1"/>
  <c r="J246" i="22"/>
  <c r="J245" i="22"/>
  <c r="J244" i="22"/>
  <c r="I244" i="22"/>
  <c r="K244" i="22" s="1"/>
  <c r="J243" i="22"/>
  <c r="J242" i="22"/>
  <c r="J241" i="22"/>
  <c r="J240" i="22"/>
  <c r="J238" i="22"/>
  <c r="I238" i="22"/>
  <c r="K238" i="22" s="1"/>
  <c r="J237" i="22"/>
  <c r="J236" i="22"/>
  <c r="J235" i="22"/>
  <c r="I235" i="22"/>
  <c r="K235" i="22" s="1"/>
  <c r="J234" i="22"/>
  <c r="J233" i="22"/>
  <c r="J232" i="22"/>
  <c r="J231" i="22"/>
  <c r="J229" i="22"/>
  <c r="I229" i="22"/>
  <c r="K229" i="22" s="1"/>
  <c r="N228" i="22"/>
  <c r="L228" i="22"/>
  <c r="O228" i="22" s="1"/>
  <c r="L226" i="22"/>
  <c r="L225" i="22"/>
  <c r="N224" i="22"/>
  <c r="M224" i="22"/>
  <c r="O223" i="22"/>
  <c r="P221" i="22"/>
  <c r="N221" i="22"/>
  <c r="M221" i="22"/>
  <c r="L221" i="22"/>
  <c r="J219" i="22"/>
  <c r="I219" i="22"/>
  <c r="K219" i="22" s="1"/>
  <c r="J218" i="22"/>
  <c r="J217" i="22"/>
  <c r="J216" i="22"/>
  <c r="I216" i="22"/>
  <c r="K216" i="22" s="1"/>
  <c r="J215" i="22"/>
  <c r="I215" i="22"/>
  <c r="K215" i="22" s="1"/>
  <c r="J213" i="22"/>
  <c r="I213" i="22"/>
  <c r="K213" i="22" s="1"/>
  <c r="J212" i="22"/>
  <c r="J211" i="22"/>
  <c r="J210" i="22"/>
  <c r="J209" i="22"/>
  <c r="J204" i="22"/>
  <c r="I204" i="22"/>
  <c r="K204" i="22" s="1"/>
  <c r="J203" i="22"/>
  <c r="J202" i="22"/>
  <c r="J201" i="22"/>
  <c r="I201" i="22"/>
  <c r="K201" i="22" s="1"/>
  <c r="J200" i="22"/>
  <c r="I200" i="22"/>
  <c r="J199" i="22"/>
  <c r="I199" i="22"/>
  <c r="J197" i="22"/>
  <c r="J196" i="22"/>
  <c r="J195" i="22"/>
  <c r="J194" i="22"/>
  <c r="J189" i="22"/>
  <c r="I189" i="22"/>
  <c r="J188" i="22"/>
  <c r="J187" i="22"/>
  <c r="J186" i="22"/>
  <c r="I186" i="22"/>
  <c r="K186" i="22" s="1"/>
  <c r="J185" i="22"/>
  <c r="I185" i="22"/>
  <c r="K185" i="22" s="1"/>
  <c r="J184" i="22"/>
  <c r="J183" i="22"/>
  <c r="J182" i="22"/>
  <c r="J181" i="22"/>
  <c r="J176" i="22"/>
  <c r="I176" i="22"/>
  <c r="K176" i="22" s="1"/>
  <c r="J175" i="22"/>
  <c r="J174" i="22"/>
  <c r="J173" i="22"/>
  <c r="I173" i="22"/>
  <c r="J172" i="22"/>
  <c r="J171" i="22"/>
  <c r="J170" i="22"/>
  <c r="J169" i="22"/>
  <c r="J164" i="22"/>
  <c r="I164" i="22"/>
  <c r="J163" i="22"/>
  <c r="J162" i="22"/>
  <c r="J161" i="22"/>
  <c r="J160" i="22"/>
  <c r="J159" i="22"/>
  <c r="J158" i="22"/>
  <c r="I158" i="22"/>
  <c r="J157" i="22"/>
  <c r="J156" i="22"/>
  <c r="J155" i="22"/>
  <c r="J154" i="22"/>
  <c r="J149" i="22"/>
  <c r="I149" i="22"/>
  <c r="N148" i="22"/>
  <c r="L148" i="22"/>
  <c r="O148" i="22" s="1"/>
  <c r="L146" i="22"/>
  <c r="L145" i="22"/>
  <c r="N144" i="22"/>
  <c r="M144" i="22"/>
  <c r="M142" i="22" s="1"/>
  <c r="M140" i="22" s="1"/>
  <c r="O143" i="22"/>
  <c r="P141" i="22"/>
  <c r="N141" i="22"/>
  <c r="M141" i="22"/>
  <c r="L141" i="22"/>
  <c r="J138" i="22"/>
  <c r="I138" i="22"/>
  <c r="K138" i="22" s="1"/>
  <c r="J135" i="22"/>
  <c r="J134" i="22"/>
  <c r="J133" i="22"/>
  <c r="I133" i="22"/>
  <c r="K133" i="22" s="1"/>
  <c r="J132" i="22"/>
  <c r="I132" i="22"/>
  <c r="K132" i="22" s="1"/>
  <c r="J131" i="22"/>
  <c r="J130" i="22"/>
  <c r="J129" i="22"/>
  <c r="J128" i="22"/>
  <c r="N126" i="22"/>
  <c r="L126" i="22"/>
  <c r="L124" i="22"/>
  <c r="L123" i="22"/>
  <c r="N122" i="22"/>
  <c r="M122" i="22"/>
  <c r="P122" i="22" s="1"/>
  <c r="O121" i="22"/>
  <c r="P119" i="22"/>
  <c r="N119" i="22"/>
  <c r="M119" i="22"/>
  <c r="L119" i="22"/>
  <c r="J117" i="22"/>
  <c r="I117" i="22"/>
  <c r="K117" i="22" s="1"/>
  <c r="J115" i="22"/>
  <c r="J114" i="22"/>
  <c r="J113" i="22"/>
  <c r="I113" i="22"/>
  <c r="K113" i="22" s="1"/>
  <c r="J112" i="22"/>
  <c r="I112" i="22"/>
  <c r="K112" i="22" s="1"/>
  <c r="J111" i="22"/>
  <c r="I111" i="22"/>
  <c r="K111" i="22" s="1"/>
  <c r="J110" i="22"/>
  <c r="I110" i="22"/>
  <c r="K110" i="22" s="1"/>
  <c r="J109" i="22"/>
  <c r="I109" i="22"/>
  <c r="K109" i="22" s="1"/>
  <c r="J108" i="22"/>
  <c r="I108" i="22"/>
  <c r="K108" i="22" s="1"/>
  <c r="J107" i="22"/>
  <c r="J106" i="22"/>
  <c r="J105" i="22"/>
  <c r="J104" i="22"/>
  <c r="N102" i="22"/>
  <c r="L102" i="22"/>
  <c r="L100" i="22"/>
  <c r="L99" i="22"/>
  <c r="N98" i="22"/>
  <c r="M98" i="22"/>
  <c r="P98" i="22" s="1"/>
  <c r="O97" i="22"/>
  <c r="O95" i="22"/>
  <c r="N95" i="22"/>
  <c r="M95" i="22"/>
  <c r="L95" i="22"/>
  <c r="J93" i="22"/>
  <c r="I93" i="22"/>
  <c r="K93" i="22" s="1"/>
  <c r="J92" i="22"/>
  <c r="I92" i="22"/>
  <c r="K92" i="22" s="1"/>
  <c r="J90" i="22"/>
  <c r="J89" i="22"/>
  <c r="J88" i="22"/>
  <c r="I88" i="22"/>
  <c r="K88" i="22" s="1"/>
  <c r="J87" i="22"/>
  <c r="I87" i="22"/>
  <c r="K87" i="22" s="1"/>
  <c r="J86" i="22"/>
  <c r="I86" i="22"/>
  <c r="K86" i="22" s="1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J80" i="22"/>
  <c r="I80" i="22"/>
  <c r="K80" i="22" s="1"/>
  <c r="J79" i="22"/>
  <c r="J78" i="22"/>
  <c r="J77" i="22"/>
  <c r="J76" i="22"/>
  <c r="N74" i="22"/>
  <c r="L74" i="22"/>
  <c r="O74" i="22" s="1"/>
  <c r="L72" i="22"/>
  <c r="L71" i="22"/>
  <c r="N70" i="22"/>
  <c r="M70" i="22"/>
  <c r="O69" i="22"/>
  <c r="P67" i="22"/>
  <c r="O67" i="22"/>
  <c r="N67" i="22"/>
  <c r="M67" i="22"/>
  <c r="L67" i="22"/>
  <c r="J65" i="22"/>
  <c r="I65" i="22"/>
  <c r="K65" i="22" s="1"/>
  <c r="J64" i="22"/>
  <c r="I64" i="22"/>
  <c r="K64" i="22" s="1"/>
  <c r="N61" i="22"/>
  <c r="L61" i="22"/>
  <c r="O61" i="22" s="1"/>
  <c r="L59" i="22"/>
  <c r="L58" i="22"/>
  <c r="N57" i="22"/>
  <c r="M57" i="22"/>
  <c r="M55" i="22" s="1"/>
  <c r="O54" i="22"/>
  <c r="N54" i="22"/>
  <c r="M54" i="22"/>
  <c r="L54" i="22"/>
  <c r="N49" i="22"/>
  <c r="L49" i="22"/>
  <c r="O49" i="22" s="1"/>
  <c r="L47" i="22"/>
  <c r="L46" i="22"/>
  <c r="N45" i="22"/>
  <c r="M45" i="22"/>
  <c r="P42" i="22"/>
  <c r="O42" i="22"/>
  <c r="N42" i="22"/>
  <c r="M42" i="22"/>
  <c r="L42" i="22"/>
  <c r="P36" i="22"/>
  <c r="O36" i="22"/>
  <c r="P35" i="22"/>
  <c r="O35" i="22"/>
  <c r="M34" i="22"/>
  <c r="P34" i="22" s="1"/>
  <c r="P33" i="22"/>
  <c r="M33" i="22"/>
  <c r="M32" i="22"/>
  <c r="M31" i="22"/>
  <c r="M29" i="22" s="1"/>
  <c r="N25" i="22"/>
  <c r="M25" i="22"/>
  <c r="L25" i="22"/>
  <c r="O25" i="22" s="1"/>
  <c r="P24" i="22"/>
  <c r="N24" i="22"/>
  <c r="M24" i="22"/>
  <c r="P23" i="22"/>
  <c r="N23" i="22"/>
  <c r="M23" i="22"/>
  <c r="O21" i="22"/>
  <c r="N21" i="22"/>
  <c r="N19" i="22" s="1"/>
  <c r="M21" i="22"/>
  <c r="L21" i="22"/>
  <c r="O19" i="22"/>
  <c r="L19" i="22"/>
  <c r="N15" i="22"/>
  <c r="P13" i="22"/>
  <c r="M13" i="22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K560" i="21" s="1"/>
  <c r="N559" i="21"/>
  <c r="N558" i="21"/>
  <c r="N557" i="21"/>
  <c r="N556" i="21"/>
  <c r="N555" i="21"/>
  <c r="L555" i="21"/>
  <c r="O555" i="21" s="1"/>
  <c r="N554" i="21"/>
  <c r="L554" i="21"/>
  <c r="N553" i="21"/>
  <c r="L553" i="21"/>
  <c r="O553" i="21" s="1"/>
  <c r="N552" i="21"/>
  <c r="L552" i="21"/>
  <c r="O552" i="21" s="1"/>
  <c r="N551" i="21"/>
  <c r="L551" i="21"/>
  <c r="O551" i="21" s="1"/>
  <c r="J551" i="21"/>
  <c r="I551" i="21"/>
  <c r="K551" i="21" s="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N435" i="21"/>
  <c r="L435" i="21"/>
  <c r="J435" i="21"/>
  <c r="I435" i="21"/>
  <c r="J434" i="21"/>
  <c r="J433" i="21"/>
  <c r="J432" i="21"/>
  <c r="I432" i="21"/>
  <c r="J431" i="21"/>
  <c r="I431" i="21"/>
  <c r="K431" i="21" s="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K420" i="21" s="1"/>
  <c r="J419" i="21"/>
  <c r="I419" i="21"/>
  <c r="K419" i="21" s="1"/>
  <c r="J418" i="21"/>
  <c r="I418" i="21"/>
  <c r="K418" i="21" s="1"/>
  <c r="J417" i="21"/>
  <c r="I417" i="21"/>
  <c r="K417" i="21" s="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L335" i="21"/>
  <c r="L334" i="21"/>
  <c r="N333" i="21"/>
  <c r="M333" i="21"/>
  <c r="O332" i="21"/>
  <c r="P330" i="21"/>
  <c r="O330" i="21"/>
  <c r="N330" i="21"/>
  <c r="M330" i="2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M312" i="21" s="1"/>
  <c r="O313" i="21"/>
  <c r="P311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M292" i="21" s="1"/>
  <c r="P292" i="21" s="1"/>
  <c r="O293" i="21"/>
  <c r="O291" i="21"/>
  <c r="N291" i="21"/>
  <c r="M291" i="2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O274" i="21"/>
  <c r="O272" i="21"/>
  <c r="N272" i="21"/>
  <c r="M272" i="2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M252" i="21" s="1"/>
  <c r="O253" i="21"/>
  <c r="N251" i="21"/>
  <c r="M251" i="21"/>
  <c r="P251" i="21" s="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M222" i="21" s="1"/>
  <c r="O223" i="21"/>
  <c r="P221" i="21"/>
  <c r="O221" i="21"/>
  <c r="N221" i="21"/>
  <c r="M221" i="21"/>
  <c r="L221" i="21"/>
  <c r="J219" i="21"/>
  <c r="I219" i="21"/>
  <c r="J218" i="21"/>
  <c r="J217" i="21"/>
  <c r="J216" i="21"/>
  <c r="I216" i="21"/>
  <c r="K216" i="21" s="1"/>
  <c r="J215" i="21"/>
  <c r="I215" i="21"/>
  <c r="K215" i="21" s="1"/>
  <c r="J213" i="21"/>
  <c r="I213" i="21"/>
  <c r="K213" i="21" s="1"/>
  <c r="J212" i="21"/>
  <c r="J211" i="21"/>
  <c r="J210" i="21"/>
  <c r="J209" i="21"/>
  <c r="J204" i="21"/>
  <c r="I204" i="21"/>
  <c r="K204" i="21" s="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K186" i="21" s="1"/>
  <c r="J185" i="21"/>
  <c r="I185" i="21"/>
  <c r="K185" i="21" s="1"/>
  <c r="J184" i="21"/>
  <c r="J183" i="21"/>
  <c r="J182" i="21"/>
  <c r="J181" i="21"/>
  <c r="J176" i="21"/>
  <c r="I176" i="21"/>
  <c r="K176" i="21" s="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M142" i="21" s="1"/>
  <c r="O143" i="21"/>
  <c r="N141" i="21"/>
  <c r="M141" i="21"/>
  <c r="L141" i="21"/>
  <c r="J138" i="21"/>
  <c r="I138" i="21"/>
  <c r="K138" i="21" s="1"/>
  <c r="J135" i="21"/>
  <c r="J134" i="21"/>
  <c r="J133" i="21"/>
  <c r="I133" i="21"/>
  <c r="J132" i="21"/>
  <c r="I132" i="21"/>
  <c r="J131" i="21"/>
  <c r="J130" i="21"/>
  <c r="J129" i="21"/>
  <c r="J128" i="21"/>
  <c r="N126" i="21"/>
  <c r="L126" i="21"/>
  <c r="O126" i="21" s="1"/>
  <c r="L124" i="21"/>
  <c r="L123" i="21"/>
  <c r="N122" i="21"/>
  <c r="M122" i="21"/>
  <c r="M120" i="21" s="1"/>
  <c r="O121" i="21"/>
  <c r="N119" i="21"/>
  <c r="M119" i="21"/>
  <c r="L119" i="21"/>
  <c r="O119" i="21" s="1"/>
  <c r="J117" i="21"/>
  <c r="I117" i="21"/>
  <c r="J115" i="21"/>
  <c r="J114" i="21"/>
  <c r="J113" i="21"/>
  <c r="I113" i="21"/>
  <c r="K113" i="21" s="1"/>
  <c r="J112" i="21"/>
  <c r="I112" i="21"/>
  <c r="K112" i="21" s="1"/>
  <c r="J111" i="21"/>
  <c r="I111" i="21"/>
  <c r="K111" i="21" s="1"/>
  <c r="J110" i="21"/>
  <c r="I110" i="21"/>
  <c r="K110" i="21" s="1"/>
  <c r="J109" i="21"/>
  <c r="I109" i="21"/>
  <c r="K109" i="21" s="1"/>
  <c r="J108" i="21"/>
  <c r="I108" i="21"/>
  <c r="K108" i="21" s="1"/>
  <c r="J107" i="21"/>
  <c r="J106" i="21"/>
  <c r="J105" i="21"/>
  <c r="J104" i="21"/>
  <c r="N102" i="21"/>
  <c r="L102" i="21"/>
  <c r="O102" i="21" s="1"/>
  <c r="L100" i="21"/>
  <c r="L99" i="21"/>
  <c r="N98" i="21"/>
  <c r="M98" i="21"/>
  <c r="M96" i="21" s="1"/>
  <c r="P96" i="21" s="1"/>
  <c r="O97" i="21"/>
  <c r="P95" i="21"/>
  <c r="O95" i="21"/>
  <c r="N95" i="21"/>
  <c r="M95" i="21"/>
  <c r="L95" i="21"/>
  <c r="J93" i="21"/>
  <c r="I93" i="21"/>
  <c r="K93" i="21" s="1"/>
  <c r="J92" i="21"/>
  <c r="I92" i="21"/>
  <c r="K92" i="21" s="1"/>
  <c r="J90" i="21"/>
  <c r="J89" i="21"/>
  <c r="J88" i="21"/>
  <c r="I88" i="21"/>
  <c r="K88" i="21" s="1"/>
  <c r="J87" i="21"/>
  <c r="I87" i="21"/>
  <c r="J86" i="21"/>
  <c r="I86" i="2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J80" i="21"/>
  <c r="I80" i="21"/>
  <c r="J79" i="21"/>
  <c r="J78" i="21"/>
  <c r="J77" i="21"/>
  <c r="J76" i="21"/>
  <c r="N74" i="21"/>
  <c r="L74" i="21"/>
  <c r="L72" i="21"/>
  <c r="L71" i="21"/>
  <c r="N70" i="21"/>
  <c r="M70" i="21"/>
  <c r="O69" i="21"/>
  <c r="N67" i="21"/>
  <c r="M67" i="21"/>
  <c r="L67" i="21"/>
  <c r="O67" i="21" s="1"/>
  <c r="J65" i="21"/>
  <c r="I65" i="21"/>
  <c r="J64" i="21"/>
  <c r="I64" i="21"/>
  <c r="N61" i="21"/>
  <c r="L61" i="21"/>
  <c r="O61" i="21" s="1"/>
  <c r="L59" i="21"/>
  <c r="L58" i="21"/>
  <c r="N57" i="21"/>
  <c r="M57" i="21"/>
  <c r="M55" i="21" s="1"/>
  <c r="N54" i="21"/>
  <c r="M54" i="21"/>
  <c r="L54" i="21"/>
  <c r="N49" i="21"/>
  <c r="L49" i="21"/>
  <c r="O49" i="21" s="1"/>
  <c r="L47" i="21"/>
  <c r="L46" i="21"/>
  <c r="N45" i="21"/>
  <c r="M45" i="21"/>
  <c r="M43" i="21" s="1"/>
  <c r="N42" i="21"/>
  <c r="M42" i="21"/>
  <c r="L42" i="21"/>
  <c r="O42" i="21" s="1"/>
  <c r="P36" i="21"/>
  <c r="O36" i="21"/>
  <c r="P35" i="21"/>
  <c r="O35" i="21"/>
  <c r="M34" i="21"/>
  <c r="P34" i="21" s="1"/>
  <c r="M33" i="21"/>
  <c r="P33" i="21" s="1"/>
  <c r="P32" i="21"/>
  <c r="M32" i="21"/>
  <c r="M31" i="21"/>
  <c r="M29" i="21" s="1"/>
  <c r="M30" i="21"/>
  <c r="P30" i="21" s="1"/>
  <c r="P25" i="21"/>
  <c r="O25" i="21"/>
  <c r="N25" i="21"/>
  <c r="N19" i="21" s="1"/>
  <c r="M25" i="21"/>
  <c r="L25" i="21"/>
  <c r="N24" i="21"/>
  <c r="M24" i="21"/>
  <c r="P23" i="21"/>
  <c r="N23" i="21"/>
  <c r="M23" i="21"/>
  <c r="N21" i="21"/>
  <c r="M21" i="21"/>
  <c r="L21" i="21"/>
  <c r="O19" i="21"/>
  <c r="L19" i="21"/>
  <c r="N15" i="21"/>
  <c r="M15" i="21"/>
  <c r="P15" i="21" s="1"/>
  <c r="L15" i="21"/>
  <c r="O15" i="21" s="1"/>
  <c r="M13" i="21"/>
  <c r="P13" i="21" s="1"/>
  <c r="J635" i="20"/>
  <c r="I635" i="20"/>
  <c r="J634" i="20"/>
  <c r="I634" i="20"/>
  <c r="J633" i="20"/>
  <c r="I633" i="20"/>
  <c r="J632" i="20"/>
  <c r="I632" i="20"/>
  <c r="J631" i="20"/>
  <c r="I631" i="20"/>
  <c r="K631" i="20" s="1"/>
  <c r="J630" i="20"/>
  <c r="I630" i="20"/>
  <c r="K630" i="20" s="1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K595" i="20" s="1"/>
  <c r="J594" i="20"/>
  <c r="I594" i="20"/>
  <c r="K594" i="20" s="1"/>
  <c r="J593" i="20"/>
  <c r="I593" i="20"/>
  <c r="K593" i="20" s="1"/>
  <c r="J592" i="20"/>
  <c r="I592" i="20"/>
  <c r="K592" i="20" s="1"/>
  <c r="J591" i="20"/>
  <c r="I591" i="20"/>
  <c r="K591" i="20" s="1"/>
  <c r="J590" i="20"/>
  <c r="I590" i="20"/>
  <c r="K590" i="20" s="1"/>
  <c r="J589" i="20"/>
  <c r="I589" i="20"/>
  <c r="K589" i="20" s="1"/>
  <c r="N588" i="20"/>
  <c r="N587" i="20"/>
  <c r="N586" i="20"/>
  <c r="N585" i="20"/>
  <c r="N584" i="20"/>
  <c r="L584" i="20"/>
  <c r="O584" i="20" s="1"/>
  <c r="N583" i="20"/>
  <c r="L583" i="20"/>
  <c r="O583" i="20" s="1"/>
  <c r="N582" i="20"/>
  <c r="L582" i="20"/>
  <c r="O582" i="20" s="1"/>
  <c r="N581" i="20"/>
  <c r="L581" i="20"/>
  <c r="O581" i="20" s="1"/>
  <c r="N580" i="20"/>
  <c r="L580" i="20"/>
  <c r="O580" i="20" s="1"/>
  <c r="J580" i="20"/>
  <c r="I580" i="20"/>
  <c r="K580" i="20" s="1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K499" i="20" s="1"/>
  <c r="J498" i="20"/>
  <c r="I498" i="20"/>
  <c r="K498" i="20" s="1"/>
  <c r="J497" i="20"/>
  <c r="I497" i="20"/>
  <c r="K497" i="20" s="1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J481" i="20"/>
  <c r="I481" i="20"/>
  <c r="K481" i="20" s="1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K474" i="20" s="1"/>
  <c r="J473" i="20"/>
  <c r="I473" i="20"/>
  <c r="K473" i="20" s="1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K466" i="20" s="1"/>
  <c r="J465" i="20"/>
  <c r="I465" i="20"/>
  <c r="K465" i="20" s="1"/>
  <c r="J464" i="20"/>
  <c r="I464" i="20"/>
  <c r="K464" i="20" s="1"/>
  <c r="N463" i="20"/>
  <c r="N462" i="20"/>
  <c r="N461" i="20"/>
  <c r="N460" i="20"/>
  <c r="N459" i="20"/>
  <c r="L459" i="20"/>
  <c r="O459" i="20" s="1"/>
  <c r="N458" i="20"/>
  <c r="L458" i="20"/>
  <c r="N457" i="20"/>
  <c r="L457" i="20"/>
  <c r="O457" i="20" s="1"/>
  <c r="N456" i="20"/>
  <c r="L456" i="20"/>
  <c r="O456" i="20" s="1"/>
  <c r="N455" i="20"/>
  <c r="L455" i="20"/>
  <c r="O455" i="20" s="1"/>
  <c r="J455" i="20"/>
  <c r="I455" i="20"/>
  <c r="K455" i="20" s="1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K431" i="20" s="1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K420" i="20" s="1"/>
  <c r="J419" i="20"/>
  <c r="I419" i="20"/>
  <c r="K419" i="20" s="1"/>
  <c r="J418" i="20"/>
  <c r="I418" i="20"/>
  <c r="K418" i="20" s="1"/>
  <c r="J417" i="20"/>
  <c r="I417" i="20"/>
  <c r="K417" i="20" s="1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K398" i="20" s="1"/>
  <c r="J397" i="20"/>
  <c r="I397" i="20"/>
  <c r="K397" i="20" s="1"/>
  <c r="J396" i="20"/>
  <c r="I396" i="20"/>
  <c r="K396" i="20" s="1"/>
  <c r="J394" i="20"/>
  <c r="J393" i="20"/>
  <c r="J392" i="20"/>
  <c r="J391" i="20"/>
  <c r="N389" i="20"/>
  <c r="N388" i="20"/>
  <c r="N387" i="20"/>
  <c r="N386" i="20"/>
  <c r="N385" i="20"/>
  <c r="L385" i="20"/>
  <c r="O385" i="20" s="1"/>
  <c r="N384" i="20"/>
  <c r="L384" i="20"/>
  <c r="O384" i="20" s="1"/>
  <c r="N383" i="20"/>
  <c r="L383" i="20"/>
  <c r="N382" i="20"/>
  <c r="L382" i="20"/>
  <c r="O382" i="20" s="1"/>
  <c r="J381" i="20"/>
  <c r="I381" i="20"/>
  <c r="K381" i="20" s="1"/>
  <c r="N380" i="20"/>
  <c r="L380" i="20"/>
  <c r="O380" i="20" s="1"/>
  <c r="J380" i="20"/>
  <c r="I380" i="20"/>
  <c r="K380" i="20" s="1"/>
  <c r="J379" i="20"/>
  <c r="J378" i="20"/>
  <c r="J377" i="20"/>
  <c r="I377" i="20"/>
  <c r="K377" i="20" s="1"/>
  <c r="J376" i="20"/>
  <c r="I376" i="20"/>
  <c r="K376" i="20" s="1"/>
  <c r="J375" i="20"/>
  <c r="I375" i="20"/>
  <c r="K375" i="20" s="1"/>
  <c r="J374" i="20"/>
  <c r="I374" i="20"/>
  <c r="J373" i="20"/>
  <c r="I373" i="20"/>
  <c r="K373" i="20" s="1"/>
  <c r="J372" i="20"/>
  <c r="I372" i="20"/>
  <c r="K372" i="20" s="1"/>
  <c r="J371" i="20"/>
  <c r="I371" i="20"/>
  <c r="K371" i="20" s="1"/>
  <c r="J370" i="20"/>
  <c r="I370" i="20"/>
  <c r="K370" i="20" s="1"/>
  <c r="J369" i="20"/>
  <c r="I369" i="20"/>
  <c r="J368" i="20"/>
  <c r="I368" i="20"/>
  <c r="K368" i="20" s="1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O354" i="20" s="1"/>
  <c r="N353" i="20"/>
  <c r="L353" i="20"/>
  <c r="O353" i="20" s="1"/>
  <c r="N352" i="20"/>
  <c r="L352" i="20"/>
  <c r="O352" i="20" s="1"/>
  <c r="N351" i="20"/>
  <c r="L351" i="20"/>
  <c r="J350" i="20"/>
  <c r="I350" i="20"/>
  <c r="K350" i="20" s="1"/>
  <c r="N349" i="20"/>
  <c r="L349" i="20"/>
  <c r="O349" i="20" s="1"/>
  <c r="J349" i="20"/>
  <c r="I349" i="20"/>
  <c r="K349" i="20" s="1"/>
  <c r="N347" i="20"/>
  <c r="L347" i="20"/>
  <c r="J346" i="20"/>
  <c r="I346" i="20"/>
  <c r="K346" i="20" s="1"/>
  <c r="J345" i="20"/>
  <c r="I345" i="20"/>
  <c r="K345" i="20" s="1"/>
  <c r="J344" i="20"/>
  <c r="I344" i="20"/>
  <c r="K344" i="20" s="1"/>
  <c r="J343" i="20"/>
  <c r="I343" i="20"/>
  <c r="K343" i="20" s="1"/>
  <c r="J342" i="20"/>
  <c r="I342" i="20"/>
  <c r="K342" i="20" s="1"/>
  <c r="J341" i="20"/>
  <c r="I341" i="20"/>
  <c r="K341" i="20" s="1"/>
  <c r="J340" i="20"/>
  <c r="I340" i="20"/>
  <c r="K340" i="20" s="1"/>
  <c r="J339" i="20"/>
  <c r="I339" i="20"/>
  <c r="K339" i="20" s="1"/>
  <c r="N337" i="20"/>
  <c r="L337" i="20"/>
  <c r="L335" i="20"/>
  <c r="L334" i="20"/>
  <c r="N333" i="20"/>
  <c r="M333" i="20"/>
  <c r="O332" i="20"/>
  <c r="O330" i="20"/>
  <c r="N330" i="20"/>
  <c r="M330" i="20"/>
  <c r="P330" i="20" s="1"/>
  <c r="L330" i="20"/>
  <c r="J328" i="20"/>
  <c r="I328" i="20"/>
  <c r="K328" i="20" s="1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M312" i="20" s="1"/>
  <c r="P312" i="20" s="1"/>
  <c r="O313" i="20"/>
  <c r="N311" i="20"/>
  <c r="M311" i="20"/>
  <c r="P311" i="20" s="1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P294" i="20" s="1"/>
  <c r="O293" i="20"/>
  <c r="N291" i="20"/>
  <c r="M291" i="20"/>
  <c r="L291" i="20"/>
  <c r="O291" i="20" s="1"/>
  <c r="J289" i="20"/>
  <c r="I289" i="20"/>
  <c r="K289" i="20" s="1"/>
  <c r="J287" i="20"/>
  <c r="J286" i="20"/>
  <c r="J285" i="20"/>
  <c r="I285" i="20"/>
  <c r="K285" i="20" s="1"/>
  <c r="J284" i="20"/>
  <c r="J283" i="20"/>
  <c r="J282" i="20"/>
  <c r="J281" i="20"/>
  <c r="N279" i="20"/>
  <c r="L279" i="20"/>
  <c r="O279" i="20" s="1"/>
  <c r="L277" i="20"/>
  <c r="L276" i="20"/>
  <c r="N275" i="20"/>
  <c r="M275" i="20"/>
  <c r="M273" i="20" s="1"/>
  <c r="P273" i="20" s="1"/>
  <c r="O274" i="20"/>
  <c r="P272" i="20"/>
  <c r="N272" i="20"/>
  <c r="M272" i="20"/>
  <c r="L272" i="20"/>
  <c r="O272" i="20" s="1"/>
  <c r="J270" i="20"/>
  <c r="I270" i="20"/>
  <c r="K270" i="20" s="1"/>
  <c r="J269" i="20"/>
  <c r="J268" i="20"/>
  <c r="J267" i="20"/>
  <c r="I267" i="20"/>
  <c r="K267" i="20" s="1"/>
  <c r="J266" i="20"/>
  <c r="I266" i="20"/>
  <c r="K266" i="20" s="1"/>
  <c r="J265" i="20"/>
  <c r="I265" i="20"/>
  <c r="K265" i="20" s="1"/>
  <c r="J264" i="20"/>
  <c r="I264" i="20"/>
  <c r="K264" i="20" s="1"/>
  <c r="J263" i="20"/>
  <c r="J262" i="20"/>
  <c r="J261" i="20"/>
  <c r="J260" i="20"/>
  <c r="N258" i="20"/>
  <c r="L258" i="20"/>
  <c r="O258" i="20" s="1"/>
  <c r="L256" i="20"/>
  <c r="L255" i="20"/>
  <c r="N254" i="20"/>
  <c r="M254" i="20"/>
  <c r="O253" i="20"/>
  <c r="O251" i="20"/>
  <c r="N251" i="20"/>
  <c r="M251" i="20"/>
  <c r="P251" i="20" s="1"/>
  <c r="L251" i="20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O223" i="20"/>
  <c r="P221" i="20"/>
  <c r="N221" i="20"/>
  <c r="M221" i="20"/>
  <c r="L221" i="20"/>
  <c r="O221" i="20" s="1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K186" i="20" s="1"/>
  <c r="J185" i="20"/>
  <c r="I185" i="20"/>
  <c r="K185" i="20" s="1"/>
  <c r="J184" i="20"/>
  <c r="J183" i="20"/>
  <c r="J182" i="20"/>
  <c r="J181" i="20"/>
  <c r="J176" i="20"/>
  <c r="I176" i="20"/>
  <c r="K176" i="20" s="1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M142" i="20" s="1"/>
  <c r="O143" i="20"/>
  <c r="P141" i="20"/>
  <c r="O141" i="20"/>
  <c r="N141" i="20"/>
  <c r="M141" i="20"/>
  <c r="L141" i="20"/>
  <c r="J138" i="20"/>
  <c r="I138" i="20"/>
  <c r="K138" i="20" s="1"/>
  <c r="J135" i="20"/>
  <c r="J134" i="20"/>
  <c r="J133" i="20"/>
  <c r="I133" i="20"/>
  <c r="K133" i="20" s="1"/>
  <c r="J132" i="20"/>
  <c r="I132" i="20"/>
  <c r="K132" i="20" s="1"/>
  <c r="J131" i="20"/>
  <c r="J130" i="20"/>
  <c r="J129" i="20"/>
  <c r="J128" i="20"/>
  <c r="N126" i="20"/>
  <c r="L126" i="20"/>
  <c r="O126" i="20" s="1"/>
  <c r="L124" i="20"/>
  <c r="L123" i="20"/>
  <c r="N122" i="20"/>
  <c r="M122" i="20"/>
  <c r="M120" i="20" s="1"/>
  <c r="P120" i="20" s="1"/>
  <c r="O121" i="20"/>
  <c r="P119" i="20"/>
  <c r="N119" i="20"/>
  <c r="M119" i="20"/>
  <c r="L119" i="20"/>
  <c r="J117" i="20"/>
  <c r="I117" i="20"/>
  <c r="K117" i="20" s="1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O97" i="20"/>
  <c r="O95" i="20"/>
  <c r="N95" i="20"/>
  <c r="M95" i="20"/>
  <c r="P95" i="20" s="1"/>
  <c r="L95" i="20"/>
  <c r="J93" i="20"/>
  <c r="I93" i="20"/>
  <c r="K93" i="20" s="1"/>
  <c r="J92" i="20"/>
  <c r="I92" i="20"/>
  <c r="K92" i="20" s="1"/>
  <c r="J90" i="20"/>
  <c r="J89" i="20"/>
  <c r="J88" i="20"/>
  <c r="I88" i="20"/>
  <c r="K88" i="20" s="1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K83" i="20" s="1"/>
  <c r="J82" i="20"/>
  <c r="I82" i="20"/>
  <c r="K82" i="20" s="1"/>
  <c r="J81" i="20"/>
  <c r="I81" i="20"/>
  <c r="K81" i="20" s="1"/>
  <c r="J80" i="20"/>
  <c r="I80" i="20"/>
  <c r="K80" i="20" s="1"/>
  <c r="J79" i="20"/>
  <c r="J78" i="20"/>
  <c r="J77" i="20"/>
  <c r="J76" i="20"/>
  <c r="N74" i="20"/>
  <c r="L74" i="20"/>
  <c r="O74" i="20" s="1"/>
  <c r="L72" i="20"/>
  <c r="L71" i="20"/>
  <c r="N70" i="20"/>
  <c r="M70" i="20"/>
  <c r="P70" i="20" s="1"/>
  <c r="O69" i="20"/>
  <c r="P67" i="20"/>
  <c r="O67" i="20"/>
  <c r="N67" i="20"/>
  <c r="M67" i="20"/>
  <c r="L67" i="20"/>
  <c r="J65" i="20"/>
  <c r="I65" i="20"/>
  <c r="K65" i="20" s="1"/>
  <c r="J64" i="20"/>
  <c r="I64" i="20"/>
  <c r="K64" i="20" s="1"/>
  <c r="N61" i="20"/>
  <c r="L61" i="20"/>
  <c r="O61" i="20" s="1"/>
  <c r="L59" i="20"/>
  <c r="L58" i="20"/>
  <c r="N57" i="20"/>
  <c r="M57" i="20"/>
  <c r="P54" i="20"/>
  <c r="O54" i="20"/>
  <c r="N54" i="20"/>
  <c r="M54" i="20"/>
  <c r="L54" i="20"/>
  <c r="N49" i="20"/>
  <c r="L49" i="20"/>
  <c r="O49" i="20" s="1"/>
  <c r="L47" i="20"/>
  <c r="L46" i="20"/>
  <c r="N45" i="20"/>
  <c r="M45" i="20"/>
  <c r="P42" i="20"/>
  <c r="O42" i="20"/>
  <c r="N42" i="20"/>
  <c r="M42" i="20"/>
  <c r="L42" i="20"/>
  <c r="P36" i="20"/>
  <c r="O36" i="20"/>
  <c r="P35" i="20"/>
  <c r="O35" i="20"/>
  <c r="M34" i="20"/>
  <c r="P33" i="20"/>
  <c r="M33" i="20"/>
  <c r="M32" i="20"/>
  <c r="P32" i="20" s="1"/>
  <c r="P31" i="20"/>
  <c r="M31" i="20"/>
  <c r="M30" i="20"/>
  <c r="P30" i="20" s="1"/>
  <c r="M29" i="20"/>
  <c r="N25" i="20"/>
  <c r="M25" i="20"/>
  <c r="L25" i="20"/>
  <c r="P24" i="20"/>
  <c r="N24" i="20"/>
  <c r="M24" i="20"/>
  <c r="N23" i="20"/>
  <c r="M23" i="20"/>
  <c r="P23" i="20" s="1"/>
  <c r="P21" i="20"/>
  <c r="O21" i="20"/>
  <c r="N21" i="20"/>
  <c r="M21" i="20"/>
  <c r="L21" i="20"/>
  <c r="N19" i="20"/>
  <c r="N15" i="20"/>
  <c r="P13" i="20"/>
  <c r="M13" i="20"/>
  <c r="M11" i="20"/>
  <c r="J635" i="19"/>
  <c r="I635" i="19"/>
  <c r="J634" i="19"/>
  <c r="I634" i="19"/>
  <c r="J633" i="19"/>
  <c r="I633" i="19"/>
  <c r="J632" i="19"/>
  <c r="I632" i="19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0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J594" i="19"/>
  <c r="I594" i="19"/>
  <c r="K594" i="19" s="1"/>
  <c r="J593" i="19"/>
  <c r="I593" i="19"/>
  <c r="J592" i="19"/>
  <c r="I592" i="19"/>
  <c r="K592" i="19" s="1"/>
  <c r="J591" i="19"/>
  <c r="I591" i="19"/>
  <c r="J590" i="19"/>
  <c r="I590" i="19"/>
  <c r="K590" i="19" s="1"/>
  <c r="J589" i="19"/>
  <c r="I589" i="19"/>
  <c r="N588" i="19"/>
  <c r="N587" i="19"/>
  <c r="N586" i="19"/>
  <c r="N585" i="19"/>
  <c r="N584" i="19"/>
  <c r="L584" i="19"/>
  <c r="N583" i="19"/>
  <c r="L583" i="19"/>
  <c r="O583" i="19" s="1"/>
  <c r="N582" i="19"/>
  <c r="L582" i="19"/>
  <c r="N581" i="19"/>
  <c r="L581" i="19"/>
  <c r="O581" i="19" s="1"/>
  <c r="N580" i="19"/>
  <c r="L580" i="19"/>
  <c r="J580" i="19"/>
  <c r="I580" i="19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K431" i="19" s="1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K420" i="19" s="1"/>
  <c r="J419" i="19"/>
  <c r="I419" i="19"/>
  <c r="K419" i="19" s="1"/>
  <c r="J418" i="19"/>
  <c r="I418" i="19"/>
  <c r="K418" i="19" s="1"/>
  <c r="J417" i="19"/>
  <c r="I417" i="19"/>
  <c r="K417" i="19" s="1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K376" i="19" s="1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O353" i="19" s="1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N330" i="19"/>
  <c r="M330" i="19"/>
  <c r="P330" i="19" s="1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O313" i="19"/>
  <c r="N311" i="19"/>
  <c r="M311" i="19"/>
  <c r="P311" i="19" s="1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M292" i="19" s="1"/>
  <c r="P292" i="19" s="1"/>
  <c r="O293" i="19"/>
  <c r="N291" i="19"/>
  <c r="M291" i="19"/>
  <c r="P291" i="19" s="1"/>
  <c r="L291" i="19"/>
  <c r="O291" i="19" s="1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M273" i="19" s="1"/>
  <c r="O274" i="19"/>
  <c r="N272" i="19"/>
  <c r="M272" i="19"/>
  <c r="P272" i="19" s="1"/>
  <c r="L272" i="19"/>
  <c r="O272" i="19" s="1"/>
  <c r="J270" i="19"/>
  <c r="I270" i="19"/>
  <c r="J269" i="19"/>
  <c r="J268" i="19"/>
  <c r="J267" i="19"/>
  <c r="I267" i="19"/>
  <c r="J266" i="19"/>
  <c r="I266" i="19"/>
  <c r="J265" i="19"/>
  <c r="I265" i="19"/>
  <c r="J264" i="19"/>
  <c r="I264" i="19"/>
  <c r="J263" i="19"/>
  <c r="J262" i="19"/>
  <c r="J261" i="19"/>
  <c r="J260" i="19"/>
  <c r="N258" i="19"/>
  <c r="L258" i="19"/>
  <c r="O258" i="19" s="1"/>
  <c r="L256" i="19"/>
  <c r="L255" i="19"/>
  <c r="N254" i="19"/>
  <c r="M254" i="19"/>
  <c r="O253" i="19"/>
  <c r="P251" i="19"/>
  <c r="N251" i="19"/>
  <c r="M251" i="19"/>
  <c r="L251" i="19"/>
  <c r="O251" i="19" s="1"/>
  <c r="J249" i="19"/>
  <c r="I249" i="19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O223" i="19"/>
  <c r="O221" i="19"/>
  <c r="N221" i="19"/>
  <c r="M221" i="19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K186" i="19" s="1"/>
  <c r="J185" i="19"/>
  <c r="I185" i="19"/>
  <c r="K185" i="19" s="1"/>
  <c r="J184" i="19"/>
  <c r="J183" i="19"/>
  <c r="J182" i="19"/>
  <c r="J181" i="19"/>
  <c r="J176" i="19"/>
  <c r="I176" i="19"/>
  <c r="K176" i="19" s="1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O143" i="19"/>
  <c r="P141" i="19"/>
  <c r="N141" i="19"/>
  <c r="M141" i="19"/>
  <c r="L141" i="19"/>
  <c r="O141" i="19" s="1"/>
  <c r="J138" i="19"/>
  <c r="I138" i="19"/>
  <c r="J135" i="19"/>
  <c r="J134" i="19"/>
  <c r="J133" i="19"/>
  <c r="I133" i="19"/>
  <c r="J132" i="19"/>
  <c r="I132" i="19"/>
  <c r="J131" i="19"/>
  <c r="J130" i="19"/>
  <c r="J129" i="19"/>
  <c r="J128" i="19"/>
  <c r="N126" i="19"/>
  <c r="L126" i="19"/>
  <c r="O126" i="19" s="1"/>
  <c r="L124" i="19"/>
  <c r="L123" i="19"/>
  <c r="N122" i="19"/>
  <c r="M122" i="19"/>
  <c r="M120" i="19" s="1"/>
  <c r="O121" i="19"/>
  <c r="N119" i="19"/>
  <c r="M119" i="19"/>
  <c r="P119" i="19" s="1"/>
  <c r="L119" i="19"/>
  <c r="O119" i="19" s="1"/>
  <c r="J117" i="19"/>
  <c r="I117" i="19"/>
  <c r="J115" i="19"/>
  <c r="J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J106" i="19"/>
  <c r="J105" i="19"/>
  <c r="J104" i="19"/>
  <c r="N102" i="19"/>
  <c r="L102" i="19"/>
  <c r="M102" i="19" s="1"/>
  <c r="L100" i="19"/>
  <c r="L99" i="19"/>
  <c r="N98" i="19"/>
  <c r="M98" i="19"/>
  <c r="O97" i="19"/>
  <c r="P95" i="19"/>
  <c r="N95" i="19"/>
  <c r="M95" i="19"/>
  <c r="L95" i="19"/>
  <c r="O95" i="19" s="1"/>
  <c r="J93" i="19"/>
  <c r="I93" i="19"/>
  <c r="J92" i="19"/>
  <c r="I92" i="19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K85" i="19" s="1"/>
  <c r="J84" i="19"/>
  <c r="I84" i="19"/>
  <c r="K84" i="19" s="1"/>
  <c r="J83" i="19"/>
  <c r="I83" i="19"/>
  <c r="K83" i="19" s="1"/>
  <c r="J82" i="19"/>
  <c r="I82" i="19"/>
  <c r="K82" i="19" s="1"/>
  <c r="J81" i="19"/>
  <c r="I81" i="19"/>
  <c r="K81" i="19" s="1"/>
  <c r="J80" i="19"/>
  <c r="I80" i="19"/>
  <c r="K80" i="19" s="1"/>
  <c r="J79" i="19"/>
  <c r="J78" i="19"/>
  <c r="J77" i="19"/>
  <c r="J76" i="19"/>
  <c r="N74" i="19"/>
  <c r="L74" i="19"/>
  <c r="O74" i="19" s="1"/>
  <c r="L72" i="19"/>
  <c r="L71" i="19"/>
  <c r="N70" i="19"/>
  <c r="M70" i="19"/>
  <c r="P70" i="19" s="1"/>
  <c r="O69" i="19"/>
  <c r="N67" i="19"/>
  <c r="M67" i="19"/>
  <c r="P67" i="19" s="1"/>
  <c r="L67" i="19"/>
  <c r="O67" i="19" s="1"/>
  <c r="J65" i="19"/>
  <c r="I65" i="19"/>
  <c r="K65" i="19" s="1"/>
  <c r="J64" i="19"/>
  <c r="I64" i="19"/>
  <c r="K64" i="19" s="1"/>
  <c r="N61" i="19"/>
  <c r="L61" i="19"/>
  <c r="O61" i="19" s="1"/>
  <c r="L59" i="19"/>
  <c r="L58" i="19"/>
  <c r="N57" i="19"/>
  <c r="M57" i="19"/>
  <c r="P54" i="19"/>
  <c r="N54" i="19"/>
  <c r="M54" i="19"/>
  <c r="L54" i="19"/>
  <c r="O54" i="19" s="1"/>
  <c r="N49" i="19"/>
  <c r="L49" i="19"/>
  <c r="O49" i="19" s="1"/>
  <c r="L47" i="19"/>
  <c r="L46" i="19"/>
  <c r="N45" i="19"/>
  <c r="M45" i="19"/>
  <c r="N42" i="19"/>
  <c r="M42" i="19"/>
  <c r="P42" i="19" s="1"/>
  <c r="L42" i="19"/>
  <c r="O42" i="19" s="1"/>
  <c r="P36" i="19"/>
  <c r="O36" i="19"/>
  <c r="P35" i="19"/>
  <c r="O35" i="19"/>
  <c r="P34" i="19"/>
  <c r="M34" i="19"/>
  <c r="M33" i="19"/>
  <c r="P33" i="19" s="1"/>
  <c r="M32" i="19"/>
  <c r="P32" i="19" s="1"/>
  <c r="M31" i="19"/>
  <c r="P31" i="19" s="1"/>
  <c r="P30" i="19"/>
  <c r="M30" i="19"/>
  <c r="M29" i="19"/>
  <c r="P25" i="19"/>
  <c r="N25" i="19"/>
  <c r="M25" i="19"/>
  <c r="L25" i="19"/>
  <c r="N24" i="19"/>
  <c r="M24" i="19"/>
  <c r="P24" i="19" s="1"/>
  <c r="N23" i="19"/>
  <c r="M23" i="19"/>
  <c r="P23" i="19" s="1"/>
  <c r="P21" i="19"/>
  <c r="N21" i="19"/>
  <c r="M21" i="19"/>
  <c r="L21" i="19"/>
  <c r="O21" i="19" s="1"/>
  <c r="N19" i="19"/>
  <c r="M19" i="19"/>
  <c r="P19" i="19" s="1"/>
  <c r="N15" i="19"/>
  <c r="M15" i="19"/>
  <c r="P15" i="19" s="1"/>
  <c r="P13" i="19"/>
  <c r="M13" i="19"/>
  <c r="M11" i="19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1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K377" i="18" s="1"/>
  <c r="J376" i="18"/>
  <c r="I376" i="18"/>
  <c r="K376" i="18" s="1"/>
  <c r="J375" i="18"/>
  <c r="I375" i="18"/>
  <c r="K375" i="18" s="1"/>
  <c r="J374" i="18"/>
  <c r="I374" i="18"/>
  <c r="J373" i="18"/>
  <c r="I373" i="18"/>
  <c r="K373" i="18" s="1"/>
  <c r="J372" i="18"/>
  <c r="I372" i="18"/>
  <c r="K372" i="18" s="1"/>
  <c r="J371" i="18"/>
  <c r="I371" i="18"/>
  <c r="K371" i="18" s="1"/>
  <c r="J370" i="18"/>
  <c r="I370" i="18"/>
  <c r="K370" i="18" s="1"/>
  <c r="J369" i="18"/>
  <c r="I369" i="18"/>
  <c r="J368" i="18"/>
  <c r="I368" i="18"/>
  <c r="K368" i="18" s="1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O354" i="18" s="1"/>
  <c r="N353" i="18"/>
  <c r="L353" i="18"/>
  <c r="N352" i="18"/>
  <c r="L352" i="18"/>
  <c r="O352" i="18" s="1"/>
  <c r="N351" i="18"/>
  <c r="L351" i="18"/>
  <c r="O351" i="18" s="1"/>
  <c r="J350" i="18"/>
  <c r="I350" i="18"/>
  <c r="K350" i="18" s="1"/>
  <c r="N349" i="18"/>
  <c r="L349" i="18"/>
  <c r="O349" i="18" s="1"/>
  <c r="J349" i="18"/>
  <c r="I349" i="18"/>
  <c r="K349" i="18" s="1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O330" i="18"/>
  <c r="N330" i="18"/>
  <c r="M330" i="18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O313" i="18"/>
  <c r="O311" i="18"/>
  <c r="N311" i="18"/>
  <c r="M311" i="18"/>
  <c r="P311" i="18" s="1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N291" i="18"/>
  <c r="M291" i="18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M273" i="18" s="1"/>
  <c r="O274" i="18"/>
  <c r="P272" i="18"/>
  <c r="N272" i="18"/>
  <c r="M272" i="18"/>
  <c r="L272" i="18"/>
  <c r="O272" i="18" s="1"/>
  <c r="J270" i="18"/>
  <c r="I270" i="18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O251" i="18"/>
  <c r="N251" i="18"/>
  <c r="M251" i="18"/>
  <c r="L251" i="18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P221" i="18"/>
  <c r="O221" i="18"/>
  <c r="N221" i="18"/>
  <c r="M221" i="18"/>
  <c r="L221" i="18"/>
  <c r="J219" i="18"/>
  <c r="I219" i="18"/>
  <c r="J218" i="18"/>
  <c r="J217" i="18"/>
  <c r="J216" i="18"/>
  <c r="I216" i="18"/>
  <c r="J215" i="18"/>
  <c r="I215" i="18"/>
  <c r="J213" i="18"/>
  <c r="I213" i="18"/>
  <c r="J212" i="18"/>
  <c r="J211" i="18"/>
  <c r="J210" i="18"/>
  <c r="J209" i="18"/>
  <c r="J204" i="18"/>
  <c r="I204" i="18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O141" i="18"/>
  <c r="N141" i="18"/>
  <c r="M141" i="18"/>
  <c r="L141" i="18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M120" i="18" s="1"/>
  <c r="O121" i="18"/>
  <c r="P119" i="18"/>
  <c r="N119" i="18"/>
  <c r="M119" i="18"/>
  <c r="L119" i="18"/>
  <c r="O119" i="18" s="1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O97" i="18"/>
  <c r="P95" i="18"/>
  <c r="O95" i="18"/>
  <c r="N95" i="18"/>
  <c r="M95" i="18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L72" i="18"/>
  <c r="L71" i="18"/>
  <c r="N70" i="18"/>
  <c r="M70" i="18"/>
  <c r="O69" i="18"/>
  <c r="P67" i="18"/>
  <c r="N67" i="18"/>
  <c r="M67" i="18"/>
  <c r="L67" i="18"/>
  <c r="O67" i="18" s="1"/>
  <c r="J65" i="18"/>
  <c r="I65" i="18"/>
  <c r="J64" i="18"/>
  <c r="I64" i="18"/>
  <c r="N61" i="18"/>
  <c r="L61" i="18"/>
  <c r="L59" i="18"/>
  <c r="L58" i="18"/>
  <c r="N57" i="18"/>
  <c r="M57" i="18"/>
  <c r="M55" i="18" s="1"/>
  <c r="O54" i="18"/>
  <c r="N54" i="18"/>
  <c r="M54" i="18"/>
  <c r="L54" i="18"/>
  <c r="N49" i="18"/>
  <c r="L49" i="18"/>
  <c r="O49" i="18" s="1"/>
  <c r="L47" i="18"/>
  <c r="L46" i="18"/>
  <c r="N45" i="18"/>
  <c r="M45" i="18"/>
  <c r="M43" i="18" s="1"/>
  <c r="P42" i="18"/>
  <c r="N42" i="18"/>
  <c r="M42" i="18"/>
  <c r="L42" i="18"/>
  <c r="O42" i="18" s="1"/>
  <c r="P36" i="18"/>
  <c r="O36" i="18"/>
  <c r="P35" i="18"/>
  <c r="O35" i="18"/>
  <c r="M34" i="18"/>
  <c r="P33" i="18"/>
  <c r="M33" i="18"/>
  <c r="P32" i="18"/>
  <c r="M32" i="18"/>
  <c r="M31" i="18"/>
  <c r="M30" i="18"/>
  <c r="P30" i="18" s="1"/>
  <c r="O25" i="18"/>
  <c r="N25" i="18"/>
  <c r="N19" i="18" s="1"/>
  <c r="M25" i="18"/>
  <c r="L25" i="18"/>
  <c r="P24" i="18"/>
  <c r="N24" i="18"/>
  <c r="M24" i="18"/>
  <c r="P23" i="18"/>
  <c r="N23" i="18"/>
  <c r="M23" i="18"/>
  <c r="O21" i="18"/>
  <c r="N21" i="18"/>
  <c r="M21" i="18"/>
  <c r="L21" i="18"/>
  <c r="L19" i="18"/>
  <c r="O19" i="18" s="1"/>
  <c r="N15" i="18"/>
  <c r="L15" i="18"/>
  <c r="O15" i="18" s="1"/>
  <c r="M13" i="18"/>
  <c r="P13" i="18" s="1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O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M312" i="17" s="1"/>
  <c r="P312" i="17" s="1"/>
  <c r="O313" i="17"/>
  <c r="N311" i="17"/>
  <c r="M311" i="17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N291" i="17"/>
  <c r="M291" i="17"/>
  <c r="P291" i="17" s="1"/>
  <c r="L291" i="17"/>
  <c r="J289" i="17"/>
  <c r="I289" i="17"/>
  <c r="K289" i="17" s="1"/>
  <c r="J287" i="17"/>
  <c r="J286" i="17"/>
  <c r="J285" i="17"/>
  <c r="I285" i="17"/>
  <c r="J284" i="17"/>
  <c r="J283" i="17"/>
  <c r="J282" i="17"/>
  <c r="J281" i="17"/>
  <c r="N279" i="17"/>
  <c r="L279" i="17"/>
  <c r="O279" i="17" s="1"/>
  <c r="L277" i="17"/>
  <c r="L276" i="17"/>
  <c r="N275" i="17"/>
  <c r="M275" i="17"/>
  <c r="M273" i="17" s="1"/>
  <c r="O274" i="17"/>
  <c r="N272" i="17"/>
  <c r="M272" i="17"/>
  <c r="P272" i="17" s="1"/>
  <c r="L272" i="17"/>
  <c r="J270" i="17"/>
  <c r="I270" i="17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P251" i="17"/>
  <c r="N251" i="17"/>
  <c r="M251" i="17"/>
  <c r="L251" i="17"/>
  <c r="O251" i="17" s="1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P221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K185" i="17" s="1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P141" i="17"/>
  <c r="N141" i="17"/>
  <c r="M141" i="17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N119" i="17"/>
  <c r="M119" i="17"/>
  <c r="P119" i="17" s="1"/>
  <c r="L119" i="17"/>
  <c r="J117" i="17"/>
  <c r="I117" i="17"/>
  <c r="J115" i="17"/>
  <c r="J114" i="17"/>
  <c r="J113" i="17"/>
  <c r="I113" i="17"/>
  <c r="K113" i="17" s="1"/>
  <c r="J112" i="17"/>
  <c r="I112" i="17"/>
  <c r="K112" i="17" s="1"/>
  <c r="J111" i="17"/>
  <c r="I111" i="17"/>
  <c r="K111" i="17" s="1"/>
  <c r="J110" i="17"/>
  <c r="I110" i="17"/>
  <c r="K110" i="17" s="1"/>
  <c r="J109" i="17"/>
  <c r="I109" i="17"/>
  <c r="K109" i="17" s="1"/>
  <c r="J108" i="17"/>
  <c r="I108" i="17"/>
  <c r="K108" i="17" s="1"/>
  <c r="J107" i="17"/>
  <c r="J106" i="17"/>
  <c r="J105" i="17"/>
  <c r="J104" i="17"/>
  <c r="N102" i="17"/>
  <c r="L102" i="17"/>
  <c r="O102" i="17" s="1"/>
  <c r="L100" i="17"/>
  <c r="L99" i="17"/>
  <c r="N98" i="17"/>
  <c r="M98" i="17"/>
  <c r="M96" i="17" s="1"/>
  <c r="P96" i="17" s="1"/>
  <c r="O97" i="17"/>
  <c r="O95" i="17"/>
  <c r="N95" i="17"/>
  <c r="M95" i="17"/>
  <c r="P95" i="17" s="1"/>
  <c r="L95" i="17"/>
  <c r="J93" i="17"/>
  <c r="I93" i="17"/>
  <c r="K93" i="17" s="1"/>
  <c r="J92" i="17"/>
  <c r="I92" i="17"/>
  <c r="K92" i="17" s="1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J78" i="17"/>
  <c r="J77" i="17"/>
  <c r="J76" i="17"/>
  <c r="N74" i="17"/>
  <c r="L74" i="17"/>
  <c r="M74" i="17" s="1"/>
  <c r="M26" i="17" s="1"/>
  <c r="M16" i="17" s="1"/>
  <c r="L72" i="17"/>
  <c r="L71" i="17"/>
  <c r="N70" i="17"/>
  <c r="M70" i="17"/>
  <c r="O69" i="17"/>
  <c r="N67" i="17"/>
  <c r="M67" i="17"/>
  <c r="P67" i="17" s="1"/>
  <c r="L67" i="17"/>
  <c r="J65" i="17"/>
  <c r="I65" i="17"/>
  <c r="J64" i="17"/>
  <c r="I64" i="17"/>
  <c r="N61" i="17"/>
  <c r="L61" i="17"/>
  <c r="O61" i="17" s="1"/>
  <c r="L59" i="17"/>
  <c r="L58" i="17"/>
  <c r="N57" i="17"/>
  <c r="M57" i="17"/>
  <c r="P54" i="17"/>
  <c r="N54" i="17"/>
  <c r="M54" i="17"/>
  <c r="L54" i="17"/>
  <c r="O54" i="17" s="1"/>
  <c r="N49" i="17"/>
  <c r="L49" i="17"/>
  <c r="O49" i="17" s="1"/>
  <c r="L47" i="17"/>
  <c r="L46" i="17"/>
  <c r="N45" i="17"/>
  <c r="M45" i="17"/>
  <c r="N42" i="17"/>
  <c r="M42" i="17"/>
  <c r="L42" i="17"/>
  <c r="P36" i="17"/>
  <c r="O36" i="17"/>
  <c r="P35" i="17"/>
  <c r="O35" i="17"/>
  <c r="M34" i="17"/>
  <c r="P34" i="17" s="1"/>
  <c r="M33" i="17"/>
  <c r="P33" i="17" s="1"/>
  <c r="M32" i="17"/>
  <c r="P32" i="17" s="1"/>
  <c r="P31" i="17"/>
  <c r="M31" i="17"/>
  <c r="P30" i="17"/>
  <c r="M30" i="17"/>
  <c r="P29" i="17"/>
  <c r="M29" i="17"/>
  <c r="M28" i="17"/>
  <c r="P28" i="17" s="1"/>
  <c r="N25" i="17"/>
  <c r="M25" i="17"/>
  <c r="L25" i="17"/>
  <c r="N24" i="17"/>
  <c r="M24" i="17"/>
  <c r="P24" i="17" s="1"/>
  <c r="N23" i="17"/>
  <c r="M23" i="17"/>
  <c r="P23" i="17" s="1"/>
  <c r="P21" i="17"/>
  <c r="N21" i="17"/>
  <c r="M21" i="17"/>
  <c r="L21" i="17"/>
  <c r="N19" i="17"/>
  <c r="N15" i="17"/>
  <c r="M14" i="17"/>
  <c r="P14" i="17" s="1"/>
  <c r="M11" i="17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5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K595" i="16" s="1"/>
  <c r="J594" i="16"/>
  <c r="I594" i="16"/>
  <c r="K594" i="16" s="1"/>
  <c r="J593" i="16"/>
  <c r="I593" i="16"/>
  <c r="K593" i="16" s="1"/>
  <c r="J592" i="16"/>
  <c r="I592" i="16"/>
  <c r="K592" i="16" s="1"/>
  <c r="J591" i="16"/>
  <c r="I591" i="16"/>
  <c r="K591" i="16" s="1"/>
  <c r="J590" i="16"/>
  <c r="I590" i="16"/>
  <c r="K590" i="16" s="1"/>
  <c r="J589" i="16"/>
  <c r="I589" i="16"/>
  <c r="K589" i="16" s="1"/>
  <c r="N588" i="16"/>
  <c r="N587" i="16"/>
  <c r="N586" i="16"/>
  <c r="N585" i="16"/>
  <c r="N584" i="16"/>
  <c r="L584" i="16"/>
  <c r="O584" i="16" s="1"/>
  <c r="N583" i="16"/>
  <c r="L583" i="16"/>
  <c r="O583" i="16" s="1"/>
  <c r="N582" i="16"/>
  <c r="L582" i="16"/>
  <c r="O582" i="16" s="1"/>
  <c r="N581" i="16"/>
  <c r="L581" i="16"/>
  <c r="O581" i="16" s="1"/>
  <c r="N580" i="16"/>
  <c r="L580" i="16"/>
  <c r="O580" i="16" s="1"/>
  <c r="J580" i="16"/>
  <c r="I580" i="16"/>
  <c r="K580" i="16" s="1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J481" i="16"/>
  <c r="I481" i="16"/>
  <c r="K481" i="16" s="1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K474" i="16" s="1"/>
  <c r="J473" i="16"/>
  <c r="I473" i="16"/>
  <c r="K473" i="16" s="1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K466" i="16" s="1"/>
  <c r="J465" i="16"/>
  <c r="I465" i="16"/>
  <c r="K465" i="16" s="1"/>
  <c r="J464" i="16"/>
  <c r="I464" i="16"/>
  <c r="K464" i="16" s="1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K455" i="16" s="1"/>
  <c r="J454" i="16"/>
  <c r="J453" i="16"/>
  <c r="J452" i="16"/>
  <c r="I452" i="16"/>
  <c r="K452" i="16" s="1"/>
  <c r="J451" i="16"/>
  <c r="I451" i="16"/>
  <c r="K451" i="16" s="1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K376" i="16" s="1"/>
  <c r="J375" i="16"/>
  <c r="I375" i="16"/>
  <c r="K375" i="16" s="1"/>
  <c r="J374" i="16"/>
  <c r="I374" i="16"/>
  <c r="J373" i="16"/>
  <c r="I373" i="16"/>
  <c r="K373" i="16" s="1"/>
  <c r="J372" i="16"/>
  <c r="I372" i="16"/>
  <c r="K372" i="16" s="1"/>
  <c r="J371" i="16"/>
  <c r="I371" i="16"/>
  <c r="K371" i="16" s="1"/>
  <c r="J370" i="16"/>
  <c r="I370" i="16"/>
  <c r="K370" i="16" s="1"/>
  <c r="J369" i="16"/>
  <c r="I369" i="16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O354" i="16" s="1"/>
  <c r="N353" i="16"/>
  <c r="L353" i="16"/>
  <c r="N352" i="16"/>
  <c r="L352" i="16"/>
  <c r="O352" i="16" s="1"/>
  <c r="N351" i="16"/>
  <c r="L351" i="16"/>
  <c r="O351" i="16" s="1"/>
  <c r="J350" i="16"/>
  <c r="I350" i="16"/>
  <c r="K350" i="16" s="1"/>
  <c r="N349" i="16"/>
  <c r="L349" i="16"/>
  <c r="O349" i="16" s="1"/>
  <c r="J349" i="16"/>
  <c r="I349" i="16"/>
  <c r="K349" i="16" s="1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O332" i="16"/>
  <c r="N330" i="16"/>
  <c r="M330" i="16"/>
  <c r="L330" i="16"/>
  <c r="O330" i="16" s="1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O313" i="16"/>
  <c r="N311" i="16"/>
  <c r="M311" i="16"/>
  <c r="P311" i="16" s="1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N291" i="16"/>
  <c r="M291" i="16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O274" i="16"/>
  <c r="P272" i="16"/>
  <c r="N272" i="16"/>
  <c r="M272" i="16"/>
  <c r="L272" i="16"/>
  <c r="O272" i="16" s="1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P251" i="16"/>
  <c r="O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L226" i="16"/>
  <c r="L225" i="16"/>
  <c r="N224" i="16"/>
  <c r="M224" i="16"/>
  <c r="O223" i="16"/>
  <c r="O221" i="16"/>
  <c r="N221" i="16"/>
  <c r="M221" i="16"/>
  <c r="P221" i="16" s="1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P141" i="16"/>
  <c r="O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P119" i="16"/>
  <c r="N119" i="16"/>
  <c r="M119" i="16"/>
  <c r="L119" i="16"/>
  <c r="O119" i="16" s="1"/>
  <c r="J117" i="16"/>
  <c r="I117" i="16"/>
  <c r="K117" i="16" s="1"/>
  <c r="J115" i="16"/>
  <c r="J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J106" i="16"/>
  <c r="J105" i="16"/>
  <c r="J104" i="16"/>
  <c r="N102" i="16"/>
  <c r="L102" i="16"/>
  <c r="L100" i="16"/>
  <c r="L99" i="16"/>
  <c r="N98" i="16"/>
  <c r="M98" i="16"/>
  <c r="O97" i="16"/>
  <c r="P95" i="16"/>
  <c r="O95" i="16"/>
  <c r="N95" i="16"/>
  <c r="M95" i="16"/>
  <c r="L95" i="16"/>
  <c r="J93" i="16"/>
  <c r="I93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P70" i="16" s="1"/>
  <c r="O69" i="16"/>
  <c r="P67" i="16"/>
  <c r="N67" i="16"/>
  <c r="M67" i="16"/>
  <c r="L67" i="16"/>
  <c r="O67" i="16" s="1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P54" i="16"/>
  <c r="O54" i="16"/>
  <c r="N54" i="16"/>
  <c r="M54" i="16"/>
  <c r="L54" i="16"/>
  <c r="N49" i="16"/>
  <c r="L49" i="16"/>
  <c r="O49" i="16" s="1"/>
  <c r="L47" i="16"/>
  <c r="L46" i="16"/>
  <c r="N45" i="16"/>
  <c r="M45" i="16"/>
  <c r="M43" i="16" s="1"/>
  <c r="P42" i="16"/>
  <c r="N42" i="16"/>
  <c r="M42" i="16"/>
  <c r="L42" i="16"/>
  <c r="O42" i="16" s="1"/>
  <c r="P36" i="16"/>
  <c r="O36" i="16"/>
  <c r="P35" i="16"/>
  <c r="O35" i="16"/>
  <c r="M34" i="16"/>
  <c r="P33" i="16"/>
  <c r="M33" i="16"/>
  <c r="P32" i="16"/>
  <c r="M32" i="16"/>
  <c r="M31" i="16"/>
  <c r="P30" i="16"/>
  <c r="M30" i="16"/>
  <c r="N25" i="16"/>
  <c r="N19" i="16" s="1"/>
  <c r="M25" i="16"/>
  <c r="L25" i="16"/>
  <c r="O25" i="16" s="1"/>
  <c r="P24" i="16"/>
  <c r="N24" i="16"/>
  <c r="M24" i="16"/>
  <c r="P23" i="16"/>
  <c r="N23" i="16"/>
  <c r="M23" i="16"/>
  <c r="P21" i="16"/>
  <c r="O21" i="16"/>
  <c r="N21" i="16"/>
  <c r="M21" i="16"/>
  <c r="L21" i="16"/>
  <c r="O19" i="16"/>
  <c r="L19" i="16"/>
  <c r="N15" i="16"/>
  <c r="P13" i="16"/>
  <c r="M13" i="16"/>
  <c r="M11" i="16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O330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O311" i="15"/>
  <c r="N311" i="15"/>
  <c r="M311" i="15"/>
  <c r="P311" i="15" s="1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P294" i="15" s="1"/>
  <c r="O293" i="15"/>
  <c r="P291" i="15"/>
  <c r="N291" i="15"/>
  <c r="M291" i="15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P272" i="15"/>
  <c r="N272" i="15"/>
  <c r="M272" i="15"/>
  <c r="L272" i="15"/>
  <c r="O272" i="15" s="1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O251" i="15"/>
  <c r="N251" i="15"/>
  <c r="M251" i="15"/>
  <c r="P251" i="15" s="1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N221" i="15"/>
  <c r="M221" i="15"/>
  <c r="L221" i="15"/>
  <c r="J219" i="15"/>
  <c r="I219" i="15"/>
  <c r="J218" i="15"/>
  <c r="J217" i="15"/>
  <c r="J216" i="15"/>
  <c r="I216" i="15"/>
  <c r="K216" i="15" s="1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O141" i="15"/>
  <c r="N141" i="15"/>
  <c r="M141" i="15"/>
  <c r="P141" i="15" s="1"/>
  <c r="L141" i="15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P122" i="15" s="1"/>
  <c r="O121" i="15"/>
  <c r="P119" i="15"/>
  <c r="N119" i="15"/>
  <c r="M119" i="15"/>
  <c r="L119" i="15"/>
  <c r="O119" i="15" s="1"/>
  <c r="J117" i="15"/>
  <c r="I117" i="15"/>
  <c r="K117" i="15" s="1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P98" i="15" s="1"/>
  <c r="O97" i="15"/>
  <c r="O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P70" i="15" s="1"/>
  <c r="O69" i="15"/>
  <c r="P67" i="15"/>
  <c r="N67" i="15"/>
  <c r="M67" i="15"/>
  <c r="L67" i="15"/>
  <c r="O67" i="15" s="1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M55" i="15" s="1"/>
  <c r="O54" i="15"/>
  <c r="N54" i="15"/>
  <c r="M54" i="15"/>
  <c r="L54" i="15"/>
  <c r="N49" i="15"/>
  <c r="L49" i="15"/>
  <c r="L47" i="15"/>
  <c r="L46" i="15"/>
  <c r="N45" i="15"/>
  <c r="M45" i="15"/>
  <c r="P42" i="15"/>
  <c r="N42" i="15"/>
  <c r="M42" i="15"/>
  <c r="L42" i="15"/>
  <c r="P36" i="15"/>
  <c r="O36" i="15"/>
  <c r="P35" i="15"/>
  <c r="O35" i="15"/>
  <c r="M34" i="15"/>
  <c r="P34" i="15" s="1"/>
  <c r="M33" i="15"/>
  <c r="P33" i="15" s="1"/>
  <c r="M32" i="15"/>
  <c r="P32" i="15" s="1"/>
  <c r="P31" i="15"/>
  <c r="M31" i="15"/>
  <c r="M29" i="15" s="1"/>
  <c r="M28" i="15" s="1"/>
  <c r="P28" i="15" s="1"/>
  <c r="M30" i="15"/>
  <c r="P30" i="15" s="1"/>
  <c r="P29" i="15"/>
  <c r="P25" i="15"/>
  <c r="O25" i="15"/>
  <c r="N25" i="15"/>
  <c r="M25" i="15"/>
  <c r="L25" i="15"/>
  <c r="N24" i="15"/>
  <c r="M24" i="15"/>
  <c r="P24" i="15" s="1"/>
  <c r="N23" i="15"/>
  <c r="M23" i="15"/>
  <c r="P23" i="15" s="1"/>
  <c r="N21" i="15"/>
  <c r="N19" i="15" s="1"/>
  <c r="M21" i="15"/>
  <c r="L21" i="15"/>
  <c r="M19" i="15"/>
  <c r="P15" i="15"/>
  <c r="N15" i="15"/>
  <c r="M15" i="15"/>
  <c r="L15" i="15"/>
  <c r="O15" i="15" s="1"/>
  <c r="M14" i="15"/>
  <c r="P14" i="15" s="1"/>
  <c r="M13" i="15"/>
  <c r="P13" i="15" s="1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1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N352" i="14"/>
  <c r="L352" i="14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O337" i="14" s="1"/>
  <c r="L335" i="14"/>
  <c r="L334" i="14"/>
  <c r="N333" i="14"/>
  <c r="M333" i="14"/>
  <c r="O332" i="14"/>
  <c r="P330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N311" i="14"/>
  <c r="M311" i="14"/>
  <c r="P311" i="14" s="1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O291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K285" i="14" s="1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N272" i="14"/>
  <c r="M272" i="14"/>
  <c r="L272" i="14"/>
  <c r="O272" i="14" s="1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M252" i="14" s="1"/>
  <c r="P252" i="14" s="1"/>
  <c r="O253" i="14"/>
  <c r="N251" i="14"/>
  <c r="M251" i="14"/>
  <c r="P251" i="14" s="1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P221" i="14"/>
  <c r="O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N119" i="14"/>
  <c r="M119" i="14"/>
  <c r="L119" i="14"/>
  <c r="O119" i="14" s="1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P95" i="14"/>
  <c r="N95" i="14"/>
  <c r="M95" i="14"/>
  <c r="L95" i="14"/>
  <c r="O95" i="14" s="1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P68" i="14" s="1"/>
  <c r="O69" i="14"/>
  <c r="N67" i="14"/>
  <c r="M67" i="14"/>
  <c r="P67" i="14" s="1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P54" i="14"/>
  <c r="N54" i="14"/>
  <c r="M54" i="14"/>
  <c r="L54" i="14"/>
  <c r="O54" i="14" s="1"/>
  <c r="N49" i="14"/>
  <c r="L49" i="14"/>
  <c r="L47" i="14"/>
  <c r="L46" i="14"/>
  <c r="N45" i="14"/>
  <c r="M45" i="14"/>
  <c r="N42" i="14"/>
  <c r="M42" i="14"/>
  <c r="L42" i="14"/>
  <c r="O42" i="14" s="1"/>
  <c r="P36" i="14"/>
  <c r="O36" i="14"/>
  <c r="P35" i="14"/>
  <c r="O35" i="14"/>
  <c r="P34" i="14"/>
  <c r="M34" i="14"/>
  <c r="M33" i="14"/>
  <c r="P32" i="14"/>
  <c r="M32" i="14"/>
  <c r="M31" i="14"/>
  <c r="M29" i="14" s="1"/>
  <c r="M30" i="14"/>
  <c r="P30" i="14" s="1"/>
  <c r="P25" i="14"/>
  <c r="O25" i="14"/>
  <c r="N25" i="14"/>
  <c r="N15" i="14" s="1"/>
  <c r="M25" i="14"/>
  <c r="L25" i="14"/>
  <c r="N24" i="14"/>
  <c r="M24" i="14"/>
  <c r="P23" i="14"/>
  <c r="N23" i="14"/>
  <c r="M23" i="14"/>
  <c r="N21" i="14"/>
  <c r="M21" i="14"/>
  <c r="P21" i="14" s="1"/>
  <c r="L21" i="14"/>
  <c r="N19" i="14"/>
  <c r="M19" i="14"/>
  <c r="P19" i="14" s="1"/>
  <c r="M15" i="14"/>
  <c r="P15" i="14" s="1"/>
  <c r="L15" i="14"/>
  <c r="O15" i="14" s="1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4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K595" i="13" s="1"/>
  <c r="J594" i="13"/>
  <c r="I594" i="13"/>
  <c r="K594" i="13" s="1"/>
  <c r="J593" i="13"/>
  <c r="I593" i="13"/>
  <c r="K593" i="13" s="1"/>
  <c r="J592" i="13"/>
  <c r="I592" i="13"/>
  <c r="K592" i="13" s="1"/>
  <c r="J591" i="13"/>
  <c r="I591" i="13"/>
  <c r="K591" i="13" s="1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O584" i="13" s="1"/>
  <c r="N583" i="13"/>
  <c r="L583" i="13"/>
  <c r="O583" i="13" s="1"/>
  <c r="N582" i="13"/>
  <c r="L582" i="13"/>
  <c r="O582" i="13" s="1"/>
  <c r="N581" i="13"/>
  <c r="L581" i="13"/>
  <c r="O581" i="13" s="1"/>
  <c r="N580" i="13"/>
  <c r="L580" i="13"/>
  <c r="O580" i="13" s="1"/>
  <c r="J580" i="13"/>
  <c r="I580" i="13"/>
  <c r="K580" i="13" s="1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O383" i="13" s="1"/>
  <c r="N382" i="13"/>
  <c r="L382" i="13"/>
  <c r="O382" i="13" s="1"/>
  <c r="J381" i="13"/>
  <c r="I381" i="13"/>
  <c r="K381" i="13" s="1"/>
  <c r="N380" i="13"/>
  <c r="L380" i="13"/>
  <c r="O380" i="13" s="1"/>
  <c r="J380" i="13"/>
  <c r="I380" i="13"/>
  <c r="K380" i="13" s="1"/>
  <c r="J379" i="13"/>
  <c r="J378" i="13"/>
  <c r="J377" i="13"/>
  <c r="I377" i="13"/>
  <c r="K377" i="13" s="1"/>
  <c r="J376" i="13"/>
  <c r="I376" i="13"/>
  <c r="K376" i="13" s="1"/>
  <c r="J375" i="13"/>
  <c r="I375" i="13"/>
  <c r="K375" i="13" s="1"/>
  <c r="J374" i="13"/>
  <c r="I374" i="13"/>
  <c r="J373" i="13"/>
  <c r="I373" i="13"/>
  <c r="K373" i="13" s="1"/>
  <c r="J372" i="13"/>
  <c r="I372" i="13"/>
  <c r="K372" i="13" s="1"/>
  <c r="J371" i="13"/>
  <c r="I371" i="13"/>
  <c r="K371" i="13" s="1"/>
  <c r="J370" i="13"/>
  <c r="I370" i="13"/>
  <c r="K370" i="13" s="1"/>
  <c r="J369" i="13"/>
  <c r="I369" i="13"/>
  <c r="K369" i="13" s="1"/>
  <c r="J368" i="13"/>
  <c r="I368" i="13"/>
  <c r="K368" i="13" s="1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O354" i="13" s="1"/>
  <c r="N353" i="13"/>
  <c r="L353" i="13"/>
  <c r="O353" i="13" s="1"/>
  <c r="N352" i="13"/>
  <c r="L352" i="13"/>
  <c r="N351" i="13"/>
  <c r="L351" i="13"/>
  <c r="O351" i="13" s="1"/>
  <c r="J350" i="13"/>
  <c r="I350" i="13"/>
  <c r="K350" i="13" s="1"/>
  <c r="N349" i="13"/>
  <c r="L349" i="13"/>
  <c r="O349" i="13" s="1"/>
  <c r="J349" i="13"/>
  <c r="I349" i="13"/>
  <c r="K349" i="13" s="1"/>
  <c r="N347" i="13"/>
  <c r="L347" i="13"/>
  <c r="J346" i="13"/>
  <c r="I346" i="13"/>
  <c r="K346" i="13" s="1"/>
  <c r="J345" i="13"/>
  <c r="I345" i="13"/>
  <c r="K345" i="13" s="1"/>
  <c r="J344" i="13"/>
  <c r="I344" i="13"/>
  <c r="K344" i="13" s="1"/>
  <c r="J343" i="13"/>
  <c r="I343" i="13"/>
  <c r="K343" i="13" s="1"/>
  <c r="J342" i="13"/>
  <c r="I342" i="13"/>
  <c r="K342" i="13" s="1"/>
  <c r="J341" i="13"/>
  <c r="I341" i="13"/>
  <c r="K341" i="13" s="1"/>
  <c r="J340" i="13"/>
  <c r="I340" i="13"/>
  <c r="K340" i="13" s="1"/>
  <c r="J339" i="13"/>
  <c r="I339" i="13"/>
  <c r="K339" i="13" s="1"/>
  <c r="N337" i="13"/>
  <c r="L337" i="13"/>
  <c r="M337" i="13" s="1"/>
  <c r="L335" i="13"/>
  <c r="L334" i="13"/>
  <c r="N333" i="13"/>
  <c r="M333" i="13"/>
  <c r="O332" i="13"/>
  <c r="N330" i="13"/>
  <c r="M330" i="13"/>
  <c r="L330" i="13"/>
  <c r="O330" i="13" s="1"/>
  <c r="J328" i="13"/>
  <c r="I328" i="13"/>
  <c r="K328" i="13" s="1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P311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P291" i="13"/>
  <c r="N291" i="13"/>
  <c r="M291" i="13"/>
  <c r="L291" i="13"/>
  <c r="J289" i="13"/>
  <c r="I289" i="13"/>
  <c r="K289" i="13" s="1"/>
  <c r="J287" i="13"/>
  <c r="J286" i="13"/>
  <c r="J285" i="13"/>
  <c r="I285" i="13"/>
  <c r="K285" i="13" s="1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O272" i="13"/>
  <c r="N272" i="13"/>
  <c r="M272" i="13"/>
  <c r="P272" i="13" s="1"/>
  <c r="L272" i="13"/>
  <c r="J270" i="13"/>
  <c r="I270" i="13"/>
  <c r="K270" i="13" s="1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P221" i="13"/>
  <c r="O221" i="13"/>
  <c r="N221" i="13"/>
  <c r="M221" i="13"/>
  <c r="L221" i="13"/>
  <c r="J219" i="13"/>
  <c r="I219" i="13"/>
  <c r="J218" i="13"/>
  <c r="J217" i="13"/>
  <c r="J216" i="13"/>
  <c r="I216" i="13"/>
  <c r="J215" i="13"/>
  <c r="I215" i="13"/>
  <c r="K215" i="13" s="1"/>
  <c r="J213" i="13"/>
  <c r="I213" i="13"/>
  <c r="J212" i="13"/>
  <c r="J211" i="13"/>
  <c r="J210" i="13"/>
  <c r="J209" i="13"/>
  <c r="J204" i="13"/>
  <c r="I204" i="13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N141" i="13"/>
  <c r="M141" i="13"/>
  <c r="L141" i="13"/>
  <c r="O141" i="13" s="1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P122" i="13" s="1"/>
  <c r="O121" i="13"/>
  <c r="O119" i="13"/>
  <c r="N119" i="13"/>
  <c r="M119" i="13"/>
  <c r="P119" i="13" s="1"/>
  <c r="L119" i="13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N95" i="13"/>
  <c r="M95" i="13"/>
  <c r="P95" i="13" s="1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J86" i="13"/>
  <c r="I86" i="13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J80" i="13"/>
  <c r="I80" i="13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P67" i="13"/>
  <c r="N67" i="13"/>
  <c r="M67" i="13"/>
  <c r="L67" i="13"/>
  <c r="J65" i="13"/>
  <c r="I65" i="13"/>
  <c r="J64" i="13"/>
  <c r="I64" i="13"/>
  <c r="N61" i="13"/>
  <c r="L61" i="13"/>
  <c r="O61" i="13" s="1"/>
  <c r="L59" i="13"/>
  <c r="L58" i="13"/>
  <c r="N57" i="13"/>
  <c r="M57" i="13"/>
  <c r="O54" i="13"/>
  <c r="N54" i="13"/>
  <c r="M54" i="13"/>
  <c r="P54" i="13" s="1"/>
  <c r="L54" i="13"/>
  <c r="N49" i="13"/>
  <c r="L49" i="13"/>
  <c r="L47" i="13"/>
  <c r="L46" i="13"/>
  <c r="N45" i="13"/>
  <c r="M45" i="13"/>
  <c r="N42" i="13"/>
  <c r="M42" i="13"/>
  <c r="L42" i="13"/>
  <c r="P36" i="13"/>
  <c r="O36" i="13"/>
  <c r="P35" i="13"/>
  <c r="O35" i="13"/>
  <c r="P34" i="13"/>
  <c r="M34" i="13"/>
  <c r="M33" i="13"/>
  <c r="M13" i="13" s="1"/>
  <c r="M32" i="13"/>
  <c r="M31" i="13"/>
  <c r="M29" i="13" s="1"/>
  <c r="P29" i="13"/>
  <c r="P25" i="13"/>
  <c r="O25" i="13"/>
  <c r="N25" i="13"/>
  <c r="M25" i="13"/>
  <c r="L25" i="13"/>
  <c r="P24" i="13"/>
  <c r="N24" i="13"/>
  <c r="M24" i="13"/>
  <c r="M14" i="13" s="1"/>
  <c r="P14" i="13" s="1"/>
  <c r="N23" i="13"/>
  <c r="M23" i="13"/>
  <c r="P23" i="13" s="1"/>
  <c r="P21" i="13"/>
  <c r="N21" i="13"/>
  <c r="M21" i="13"/>
  <c r="L21" i="13"/>
  <c r="N19" i="13"/>
  <c r="M19" i="13"/>
  <c r="P15" i="13"/>
  <c r="O15" i="13"/>
  <c r="N15" i="13"/>
  <c r="M15" i="13"/>
  <c r="L15" i="13"/>
  <c r="P13" i="13"/>
  <c r="P11" i="13"/>
  <c r="M11" i="13"/>
  <c r="M9" i="13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N330" i="12"/>
  <c r="M330" i="12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O313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P291" i="12"/>
  <c r="N291" i="12"/>
  <c r="M291" i="12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P275" i="12" s="1"/>
  <c r="O274" i="12"/>
  <c r="P272" i="12"/>
  <c r="N272" i="12"/>
  <c r="M272" i="12"/>
  <c r="L272" i="12"/>
  <c r="J270" i="12"/>
  <c r="I270" i="12"/>
  <c r="K270" i="12" s="1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M250" i="12" s="1"/>
  <c r="O253" i="12"/>
  <c r="P251" i="12"/>
  <c r="O251" i="12"/>
  <c r="N251" i="12"/>
  <c r="M251" i="12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L226" i="12"/>
  <c r="L225" i="12"/>
  <c r="N224" i="12"/>
  <c r="M224" i="12"/>
  <c r="O223" i="12"/>
  <c r="P221" i="12"/>
  <c r="N221" i="12"/>
  <c r="M221" i="12"/>
  <c r="L221" i="12"/>
  <c r="O221" i="12" s="1"/>
  <c r="J219" i="12"/>
  <c r="I219" i="12"/>
  <c r="J218" i="12"/>
  <c r="J217" i="12"/>
  <c r="J216" i="12"/>
  <c r="I216" i="12"/>
  <c r="J215" i="12"/>
  <c r="I215" i="12"/>
  <c r="K215" i="12" s="1"/>
  <c r="J213" i="12"/>
  <c r="I213" i="12"/>
  <c r="J212" i="12"/>
  <c r="J211" i="12"/>
  <c r="J210" i="12"/>
  <c r="J209" i="12"/>
  <c r="J204" i="12"/>
  <c r="I204" i="12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O141" i="12"/>
  <c r="N141" i="12"/>
  <c r="M141" i="12"/>
  <c r="L141" i="12"/>
  <c r="J138" i="12"/>
  <c r="I138" i="12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P122" i="12" s="1"/>
  <c r="O121" i="12"/>
  <c r="P119" i="12"/>
  <c r="N119" i="12"/>
  <c r="M119" i="12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P95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P67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P54" i="12"/>
  <c r="O54" i="12"/>
  <c r="N54" i="12"/>
  <c r="M54" i="12"/>
  <c r="L54" i="12"/>
  <c r="N49" i="12"/>
  <c r="L49" i="12"/>
  <c r="O49" i="12" s="1"/>
  <c r="L47" i="12"/>
  <c r="L46" i="12"/>
  <c r="N45" i="12"/>
  <c r="M45" i="12"/>
  <c r="P42" i="12"/>
  <c r="N42" i="12"/>
  <c r="M42" i="12"/>
  <c r="L42" i="12"/>
  <c r="P36" i="12"/>
  <c r="O36" i="12"/>
  <c r="P35" i="12"/>
  <c r="O35" i="12"/>
  <c r="M34" i="12"/>
  <c r="P33" i="12"/>
  <c r="M33" i="12"/>
  <c r="M32" i="12"/>
  <c r="M30" i="12" s="1"/>
  <c r="P30" i="12" s="1"/>
  <c r="M31" i="12"/>
  <c r="P31" i="12" s="1"/>
  <c r="M29" i="12"/>
  <c r="P29" i="12" s="1"/>
  <c r="O25" i="12"/>
  <c r="N25" i="12"/>
  <c r="M25" i="12"/>
  <c r="L25" i="12"/>
  <c r="P24" i="12"/>
  <c r="N24" i="12"/>
  <c r="M24" i="12"/>
  <c r="N23" i="12"/>
  <c r="M23" i="12"/>
  <c r="P23" i="12" s="1"/>
  <c r="P21" i="12"/>
  <c r="O21" i="12"/>
  <c r="N21" i="12"/>
  <c r="M21" i="12"/>
  <c r="L21" i="12"/>
  <c r="N19" i="12"/>
  <c r="M19" i="12"/>
  <c r="N15" i="12"/>
  <c r="L15" i="12"/>
  <c r="O15" i="12" s="1"/>
  <c r="M11" i="12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K420" i="11" s="1"/>
  <c r="J419" i="11"/>
  <c r="I419" i="11"/>
  <c r="K419" i="11" s="1"/>
  <c r="J418" i="11"/>
  <c r="I418" i="11"/>
  <c r="K418" i="11" s="1"/>
  <c r="J417" i="11"/>
  <c r="I417" i="11"/>
  <c r="K417" i="11" s="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N383" i="11"/>
  <c r="L383" i="11"/>
  <c r="N382" i="11"/>
  <c r="L382" i="1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O352" i="11" s="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O330" i="11"/>
  <c r="N330" i="11"/>
  <c r="M330" i="11"/>
  <c r="P330" i="11" s="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M312" i="11" s="1"/>
  <c r="P312" i="11" s="1"/>
  <c r="O313" i="11"/>
  <c r="N311" i="11"/>
  <c r="M311" i="1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N291" i="11"/>
  <c r="M291" i="11"/>
  <c r="L291" i="11"/>
  <c r="O291" i="11" s="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P273" i="11" s="1"/>
  <c r="O274" i="11"/>
  <c r="N272" i="11"/>
  <c r="M272" i="11"/>
  <c r="P272" i="11" s="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P254" i="11" s="1"/>
  <c r="O253" i="11"/>
  <c r="N251" i="11"/>
  <c r="M251" i="11"/>
  <c r="L251" i="11"/>
  <c r="O251" i="11" s="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P221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N141" i="11"/>
  <c r="M141" i="11"/>
  <c r="L141" i="11"/>
  <c r="O141" i="11" s="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P120" i="11" s="1"/>
  <c r="O121" i="11"/>
  <c r="N119" i="11"/>
  <c r="M119" i="11"/>
  <c r="P119" i="11" s="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M96" i="11" s="1"/>
  <c r="O97" i="11"/>
  <c r="P95" i="11"/>
  <c r="O95" i="11"/>
  <c r="N95" i="11"/>
  <c r="M95" i="1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P70" i="11" s="1"/>
  <c r="O69" i="11"/>
  <c r="P67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P54" i="11"/>
  <c r="O54" i="11"/>
  <c r="N54" i="11"/>
  <c r="M54" i="11"/>
  <c r="L54" i="11"/>
  <c r="N49" i="11"/>
  <c r="L49" i="11"/>
  <c r="O49" i="11" s="1"/>
  <c r="L47" i="11"/>
  <c r="L46" i="11"/>
  <c r="N45" i="11"/>
  <c r="M45" i="11"/>
  <c r="M43" i="11" s="1"/>
  <c r="P42" i="11"/>
  <c r="N42" i="11"/>
  <c r="M42" i="11"/>
  <c r="L42" i="11"/>
  <c r="P36" i="11"/>
  <c r="O36" i="11"/>
  <c r="P35" i="11"/>
  <c r="O35" i="11"/>
  <c r="M34" i="11"/>
  <c r="P34" i="11" s="1"/>
  <c r="P33" i="11"/>
  <c r="M33" i="11"/>
  <c r="M32" i="11"/>
  <c r="M31" i="11"/>
  <c r="P31" i="11" s="1"/>
  <c r="M29" i="11"/>
  <c r="P29" i="11" s="1"/>
  <c r="N25" i="11"/>
  <c r="N15" i="11" s="1"/>
  <c r="M25" i="11"/>
  <c r="L25" i="11"/>
  <c r="O25" i="11" s="1"/>
  <c r="P24" i="11"/>
  <c r="N24" i="11"/>
  <c r="M24" i="11"/>
  <c r="N23" i="11"/>
  <c r="M23" i="11"/>
  <c r="P21" i="11"/>
  <c r="O21" i="11"/>
  <c r="N21" i="11"/>
  <c r="N19" i="11" s="1"/>
  <c r="M21" i="11"/>
  <c r="L21" i="11"/>
  <c r="L19" i="11" s="1"/>
  <c r="O15" i="11"/>
  <c r="L15" i="11"/>
  <c r="M14" i="11"/>
  <c r="P14" i="11" s="1"/>
  <c r="P11" i="11"/>
  <c r="M11" i="11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0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K345" i="10" s="1"/>
  <c r="J344" i="10"/>
  <c r="I344" i="10"/>
  <c r="K344" i="10" s="1"/>
  <c r="J343" i="10"/>
  <c r="I343" i="10"/>
  <c r="K343" i="10" s="1"/>
  <c r="J342" i="10"/>
  <c r="I342" i="10"/>
  <c r="K342" i="10" s="1"/>
  <c r="J341" i="10"/>
  <c r="I341" i="10"/>
  <c r="K341" i="10" s="1"/>
  <c r="J340" i="10"/>
  <c r="I340" i="10"/>
  <c r="K340" i="10" s="1"/>
  <c r="J339" i="10"/>
  <c r="I339" i="10"/>
  <c r="K339" i="10" s="1"/>
  <c r="N337" i="10"/>
  <c r="L337" i="10"/>
  <c r="O337" i="10" s="1"/>
  <c r="L335" i="10"/>
  <c r="L334" i="10"/>
  <c r="N333" i="10"/>
  <c r="M333" i="10"/>
  <c r="M331" i="10" s="1"/>
  <c r="O332" i="10"/>
  <c r="N330" i="10"/>
  <c r="M330" i="10"/>
  <c r="P330" i="10" s="1"/>
  <c r="L330" i="10"/>
  <c r="J328" i="10"/>
  <c r="I328" i="10"/>
  <c r="K328" i="10" s="1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N311" i="10"/>
  <c r="M311" i="10"/>
  <c r="P311" i="10" s="1"/>
  <c r="L311" i="10"/>
  <c r="L311" i="1" s="1"/>
  <c r="O311" i="1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N291" i="10"/>
  <c r="M291" i="10"/>
  <c r="L291" i="10"/>
  <c r="O291" i="10" s="1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P272" i="10"/>
  <c r="N272" i="10"/>
  <c r="M272" i="10"/>
  <c r="L272" i="10"/>
  <c r="O272" i="10" s="1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N251" i="10"/>
  <c r="M251" i="10"/>
  <c r="P251" i="10" s="1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O223" i="10"/>
  <c r="N221" i="10"/>
  <c r="M221" i="10"/>
  <c r="L221" i="10"/>
  <c r="O221" i="10" s="1"/>
  <c r="J219" i="10"/>
  <c r="I219" i="10"/>
  <c r="J218" i="10"/>
  <c r="J217" i="10"/>
  <c r="J216" i="10"/>
  <c r="I216" i="10"/>
  <c r="J215" i="10"/>
  <c r="I215" i="10"/>
  <c r="K215" i="10" s="1"/>
  <c r="J213" i="10"/>
  <c r="I213" i="10"/>
  <c r="J212" i="10"/>
  <c r="J211" i="10"/>
  <c r="J210" i="10"/>
  <c r="J209" i="10"/>
  <c r="J204" i="10"/>
  <c r="I204" i="10"/>
  <c r="J203" i="10"/>
  <c r="J202" i="10"/>
  <c r="J201" i="10"/>
  <c r="I201" i="10"/>
  <c r="K201" i="10" s="1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N141" i="10"/>
  <c r="M141" i="10"/>
  <c r="P141" i="10" s="1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M120" i="10" s="1"/>
  <c r="O121" i="10"/>
  <c r="N119" i="10"/>
  <c r="N119" i="1" s="1"/>
  <c r="M119" i="10"/>
  <c r="P119" i="10" s="1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O97" i="10"/>
  <c r="N95" i="10"/>
  <c r="M95" i="10"/>
  <c r="P95" i="10" s="1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P70" i="10" s="1"/>
  <c r="O69" i="10"/>
  <c r="N67" i="10"/>
  <c r="N67" i="1" s="1"/>
  <c r="M67" i="10"/>
  <c r="P67" i="10" s="1"/>
  <c r="L67" i="10"/>
  <c r="O67" i="10" s="1"/>
  <c r="J65" i="10"/>
  <c r="I65" i="10"/>
  <c r="K65" i="10" s="1"/>
  <c r="J64" i="10"/>
  <c r="I64" i="10"/>
  <c r="K64" i="10" s="1"/>
  <c r="N61" i="10"/>
  <c r="L61" i="10"/>
  <c r="L59" i="10"/>
  <c r="L58" i="10"/>
  <c r="N57" i="10"/>
  <c r="M57" i="10"/>
  <c r="P54" i="10"/>
  <c r="N54" i="10"/>
  <c r="M54" i="10"/>
  <c r="L54" i="10"/>
  <c r="O54" i="10" s="1"/>
  <c r="N49" i="10"/>
  <c r="L49" i="10"/>
  <c r="M49" i="10" s="1"/>
  <c r="M26" i="10" s="1"/>
  <c r="L47" i="10"/>
  <c r="L46" i="10"/>
  <c r="N45" i="10"/>
  <c r="M45" i="10"/>
  <c r="N42" i="10"/>
  <c r="M42" i="10"/>
  <c r="P42" i="10" s="1"/>
  <c r="L42" i="10"/>
  <c r="O42" i="10" s="1"/>
  <c r="P36" i="10"/>
  <c r="O36" i="10"/>
  <c r="P35" i="10"/>
  <c r="O35" i="10"/>
  <c r="M34" i="10"/>
  <c r="P34" i="10" s="1"/>
  <c r="M33" i="10"/>
  <c r="P33" i="10" s="1"/>
  <c r="M32" i="10"/>
  <c r="M30" i="10" s="1"/>
  <c r="P30" i="10" s="1"/>
  <c r="M31" i="10"/>
  <c r="P31" i="10" s="1"/>
  <c r="N25" i="10"/>
  <c r="N15" i="10" s="1"/>
  <c r="M25" i="10"/>
  <c r="P25" i="10" s="1"/>
  <c r="L25" i="10"/>
  <c r="N24" i="10"/>
  <c r="M24" i="10"/>
  <c r="P24" i="10" s="1"/>
  <c r="N23" i="10"/>
  <c r="M23" i="10"/>
  <c r="N21" i="10"/>
  <c r="M21" i="10"/>
  <c r="M19" i="10" s="1"/>
  <c r="P19" i="10" s="1"/>
  <c r="L21" i="10"/>
  <c r="O21" i="10" s="1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0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K499" i="9" s="1"/>
  <c r="J498" i="9"/>
  <c r="I498" i="9"/>
  <c r="K498" i="9" s="1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K473" i="9" s="1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K464" i="9" s="1"/>
  <c r="N463" i="9"/>
  <c r="N462" i="9"/>
  <c r="N461" i="9"/>
  <c r="N460" i="9"/>
  <c r="N459" i="9"/>
  <c r="L459" i="9"/>
  <c r="O459" i="9" s="1"/>
  <c r="N458" i="9"/>
  <c r="L458" i="9"/>
  <c r="O458" i="9" s="1"/>
  <c r="N457" i="9"/>
  <c r="L457" i="9"/>
  <c r="O457" i="9" s="1"/>
  <c r="N456" i="9"/>
  <c r="L456" i="9"/>
  <c r="O456" i="9" s="1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K431" i="9" s="1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K420" i="9" s="1"/>
  <c r="J419" i="9"/>
  <c r="I419" i="9"/>
  <c r="K419" i="9" s="1"/>
  <c r="J418" i="9"/>
  <c r="I418" i="9"/>
  <c r="K418" i="9" s="1"/>
  <c r="J417" i="9"/>
  <c r="I417" i="9"/>
  <c r="K417" i="9" s="1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K398" i="9" s="1"/>
  <c r="J397" i="9"/>
  <c r="I397" i="9"/>
  <c r="K397" i="9" s="1"/>
  <c r="J396" i="9"/>
  <c r="I396" i="9"/>
  <c r="K396" i="9" s="1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O383" i="9" s="1"/>
  <c r="N382" i="9"/>
  <c r="L382" i="9"/>
  <c r="O382" i="9" s="1"/>
  <c r="J381" i="9"/>
  <c r="I381" i="9"/>
  <c r="K381" i="9" s="1"/>
  <c r="N380" i="9"/>
  <c r="L380" i="9"/>
  <c r="O380" i="9" s="1"/>
  <c r="J380" i="9"/>
  <c r="I380" i="9"/>
  <c r="K380" i="9" s="1"/>
  <c r="J379" i="9"/>
  <c r="J378" i="9"/>
  <c r="J377" i="9"/>
  <c r="I377" i="9"/>
  <c r="K377" i="9" s="1"/>
  <c r="J376" i="9"/>
  <c r="I376" i="9"/>
  <c r="K376" i="9" s="1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K371" i="9" s="1"/>
  <c r="J370" i="9"/>
  <c r="I370" i="9"/>
  <c r="K370" i="9" s="1"/>
  <c r="J369" i="9"/>
  <c r="I369" i="9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O354" i="9" s="1"/>
  <c r="N353" i="9"/>
  <c r="L353" i="9"/>
  <c r="O353" i="9" s="1"/>
  <c r="N352" i="9"/>
  <c r="L352" i="9"/>
  <c r="O352" i="9" s="1"/>
  <c r="N351" i="9"/>
  <c r="L351" i="9"/>
  <c r="J350" i="9"/>
  <c r="I350" i="9"/>
  <c r="K350" i="9" s="1"/>
  <c r="N349" i="9"/>
  <c r="L349" i="9"/>
  <c r="O349" i="9" s="1"/>
  <c r="J349" i="9"/>
  <c r="I349" i="9"/>
  <c r="K349" i="9" s="1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K343" i="9" s="1"/>
  <c r="J342" i="9"/>
  <c r="I342" i="9"/>
  <c r="K342" i="9" s="1"/>
  <c r="J341" i="9"/>
  <c r="I341" i="9"/>
  <c r="K341" i="9" s="1"/>
  <c r="J340" i="9"/>
  <c r="I340" i="9"/>
  <c r="K340" i="9" s="1"/>
  <c r="J339" i="9"/>
  <c r="I339" i="9"/>
  <c r="K339" i="9" s="1"/>
  <c r="N337" i="9"/>
  <c r="L337" i="9"/>
  <c r="L335" i="9"/>
  <c r="L334" i="9"/>
  <c r="N333" i="9"/>
  <c r="M333" i="9"/>
  <c r="O332" i="9"/>
  <c r="P330" i="9"/>
  <c r="N330" i="9"/>
  <c r="M330" i="9"/>
  <c r="L330" i="9"/>
  <c r="O330" i="9" s="1"/>
  <c r="J328" i="9"/>
  <c r="I328" i="9"/>
  <c r="K328" i="9" s="1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P311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O272" i="9"/>
  <c r="N272" i="9"/>
  <c r="M272" i="9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O221" i="9"/>
  <c r="N221" i="9"/>
  <c r="M221" i="9"/>
  <c r="P221" i="9" s="1"/>
  <c r="L221" i="9"/>
  <c r="J219" i="9"/>
  <c r="I219" i="9"/>
  <c r="J218" i="9"/>
  <c r="J217" i="9"/>
  <c r="J216" i="9"/>
  <c r="I216" i="9"/>
  <c r="J215" i="9"/>
  <c r="I215" i="9"/>
  <c r="K215" i="9" s="1"/>
  <c r="J213" i="9"/>
  <c r="I213" i="9"/>
  <c r="J212" i="9"/>
  <c r="J211" i="9"/>
  <c r="J210" i="9"/>
  <c r="J209" i="9"/>
  <c r="J204" i="9"/>
  <c r="I204" i="9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N141" i="9"/>
  <c r="M141" i="9"/>
  <c r="L141" i="9"/>
  <c r="J138" i="9"/>
  <c r="I138" i="9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O119" i="9"/>
  <c r="N119" i="9"/>
  <c r="M119" i="9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L100" i="9"/>
  <c r="L99" i="9"/>
  <c r="N98" i="9"/>
  <c r="M98" i="9"/>
  <c r="M96" i="9" s="1"/>
  <c r="O97" i="9"/>
  <c r="P95" i="9"/>
  <c r="O95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M68" i="9" s="1"/>
  <c r="P68" i="9" s="1"/>
  <c r="O69" i="9"/>
  <c r="P67" i="9"/>
  <c r="O67" i="9"/>
  <c r="N67" i="9"/>
  <c r="M67" i="9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M55" i="9" s="1"/>
  <c r="N54" i="9"/>
  <c r="M54" i="9"/>
  <c r="P54" i="9" s="1"/>
  <c r="L54" i="9"/>
  <c r="N49" i="9"/>
  <c r="L49" i="9"/>
  <c r="O49" i="9" s="1"/>
  <c r="L47" i="9"/>
  <c r="L46" i="9"/>
  <c r="N45" i="9"/>
  <c r="M45" i="9"/>
  <c r="P42" i="9"/>
  <c r="N42" i="9"/>
  <c r="M42" i="9"/>
  <c r="L42" i="9"/>
  <c r="P36" i="9"/>
  <c r="O36" i="9"/>
  <c r="P35" i="9"/>
  <c r="O35" i="9"/>
  <c r="M34" i="9"/>
  <c r="M14" i="9" s="1"/>
  <c r="P33" i="9"/>
  <c r="M33" i="9"/>
  <c r="P32" i="9"/>
  <c r="M32" i="9"/>
  <c r="P31" i="9"/>
  <c r="M31" i="9"/>
  <c r="M29" i="9" s="1"/>
  <c r="M30" i="9"/>
  <c r="P30" i="9" s="1"/>
  <c r="N25" i="9"/>
  <c r="M25" i="9"/>
  <c r="P25" i="9" s="1"/>
  <c r="L25" i="9"/>
  <c r="O25" i="9" s="1"/>
  <c r="P24" i="9"/>
  <c r="N24" i="9"/>
  <c r="M24" i="9"/>
  <c r="P23" i="9"/>
  <c r="N23" i="9"/>
  <c r="M23" i="9"/>
  <c r="O21" i="9"/>
  <c r="N21" i="9"/>
  <c r="M21" i="9"/>
  <c r="L21" i="9"/>
  <c r="O19" i="9"/>
  <c r="L19" i="9"/>
  <c r="N15" i="9"/>
  <c r="P14" i="9"/>
  <c r="P13" i="9"/>
  <c r="M13" i="9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5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K482" i="8" s="1"/>
  <c r="J481" i="8"/>
  <c r="I481" i="8"/>
  <c r="K481" i="8" s="1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K474" i="8" s="1"/>
  <c r="J473" i="8"/>
  <c r="I473" i="8"/>
  <c r="K473" i="8" s="1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O459" i="8" s="1"/>
  <c r="N458" i="8"/>
  <c r="L458" i="8"/>
  <c r="O458" i="8" s="1"/>
  <c r="N457" i="8"/>
  <c r="L457" i="8"/>
  <c r="O457" i="8" s="1"/>
  <c r="N456" i="8"/>
  <c r="L456" i="8"/>
  <c r="O456" i="8" s="1"/>
  <c r="N455" i="8"/>
  <c r="L455" i="8"/>
  <c r="O455" i="8" s="1"/>
  <c r="J455" i="8"/>
  <c r="I455" i="8"/>
  <c r="K455" i="8" s="1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K345" i="8" s="1"/>
  <c r="J344" i="8"/>
  <c r="I344" i="8"/>
  <c r="K344" i="8" s="1"/>
  <c r="J343" i="8"/>
  <c r="I343" i="8"/>
  <c r="K343" i="8" s="1"/>
  <c r="J342" i="8"/>
  <c r="I342" i="8"/>
  <c r="K342" i="8" s="1"/>
  <c r="J341" i="8"/>
  <c r="I341" i="8"/>
  <c r="K341" i="8" s="1"/>
  <c r="J340" i="8"/>
  <c r="I340" i="8"/>
  <c r="K340" i="8" s="1"/>
  <c r="J339" i="8"/>
  <c r="I339" i="8"/>
  <c r="K339" i="8" s="1"/>
  <c r="N337" i="8"/>
  <c r="L337" i="8"/>
  <c r="L335" i="8"/>
  <c r="L334" i="8"/>
  <c r="N333" i="8"/>
  <c r="M333" i="8"/>
  <c r="O332" i="8"/>
  <c r="P330" i="8"/>
  <c r="O330" i="8"/>
  <c r="N330" i="8"/>
  <c r="M330" i="8"/>
  <c r="L330" i="8"/>
  <c r="J328" i="8"/>
  <c r="I328" i="8"/>
  <c r="K328" i="8" s="1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N311" i="8"/>
  <c r="M311" i="8"/>
  <c r="P311" i="8" s="1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O291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N272" i="8"/>
  <c r="M272" i="8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M250" i="8" s="1"/>
  <c r="P250" i="8" s="1"/>
  <c r="O253" i="8"/>
  <c r="P251" i="8"/>
  <c r="N251" i="8"/>
  <c r="M251" i="8"/>
  <c r="L251" i="8"/>
  <c r="O251" i="8" s="1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K235" i="8" s="1"/>
  <c r="J234" i="8"/>
  <c r="J233" i="8"/>
  <c r="J232" i="8"/>
  <c r="J231" i="8"/>
  <c r="J229" i="8"/>
  <c r="I229" i="8"/>
  <c r="K229" i="8" s="1"/>
  <c r="N228" i="8"/>
  <c r="L228" i="8"/>
  <c r="O228" i="8" s="1"/>
  <c r="L226" i="8"/>
  <c r="L225" i="8"/>
  <c r="N224" i="8"/>
  <c r="M224" i="8"/>
  <c r="P224" i="8" s="1"/>
  <c r="O223" i="8"/>
  <c r="P221" i="8"/>
  <c r="N221" i="8"/>
  <c r="M221" i="8"/>
  <c r="L221" i="8"/>
  <c r="J219" i="8"/>
  <c r="I219" i="8"/>
  <c r="K219" i="8" s="1"/>
  <c r="J218" i="8"/>
  <c r="J217" i="8"/>
  <c r="J216" i="8"/>
  <c r="I216" i="8"/>
  <c r="J215" i="8"/>
  <c r="I215" i="8"/>
  <c r="K215" i="8" s="1"/>
  <c r="J213" i="8"/>
  <c r="I213" i="8"/>
  <c r="J212" i="8"/>
  <c r="J211" i="8"/>
  <c r="J210" i="8"/>
  <c r="J209" i="8"/>
  <c r="J204" i="8"/>
  <c r="I204" i="8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N141" i="8"/>
  <c r="M141" i="8"/>
  <c r="L141" i="8"/>
  <c r="J138" i="8"/>
  <c r="I138" i="8"/>
  <c r="J135" i="8"/>
  <c r="J134" i="8"/>
  <c r="J133" i="8"/>
  <c r="I133" i="8"/>
  <c r="K133" i="8" s="1"/>
  <c r="J132" i="8"/>
  <c r="I132" i="8"/>
  <c r="K132" i="8" s="1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N119" i="8"/>
  <c r="M119" i="8"/>
  <c r="L119" i="8"/>
  <c r="O119" i="8" s="1"/>
  <c r="J117" i="8"/>
  <c r="I117" i="8"/>
  <c r="K117" i="8" s="1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N95" i="8"/>
  <c r="M95" i="8"/>
  <c r="L95" i="8"/>
  <c r="O95" i="8" s="1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L72" i="8"/>
  <c r="L71" i="8"/>
  <c r="N70" i="8"/>
  <c r="M70" i="8"/>
  <c r="M68" i="8" s="1"/>
  <c r="P68" i="8" s="1"/>
  <c r="O69" i="8"/>
  <c r="O67" i="8"/>
  <c r="N67" i="8"/>
  <c r="M67" i="8"/>
  <c r="P67" i="8" s="1"/>
  <c r="L67" i="8"/>
  <c r="J65" i="8"/>
  <c r="I65" i="8"/>
  <c r="K65" i="8" s="1"/>
  <c r="J64" i="8"/>
  <c r="I64" i="8"/>
  <c r="K64" i="8" s="1"/>
  <c r="N61" i="8"/>
  <c r="L61" i="8"/>
  <c r="L59" i="8"/>
  <c r="L58" i="8"/>
  <c r="N57" i="8"/>
  <c r="M57" i="8"/>
  <c r="N54" i="8"/>
  <c r="M54" i="8"/>
  <c r="L54" i="8"/>
  <c r="O54" i="8" s="1"/>
  <c r="N49" i="8"/>
  <c r="L49" i="8"/>
  <c r="O49" i="8" s="1"/>
  <c r="L47" i="8"/>
  <c r="L46" i="8"/>
  <c r="N45" i="8"/>
  <c r="M45" i="8"/>
  <c r="O42" i="8"/>
  <c r="N42" i="8"/>
  <c r="M42" i="8"/>
  <c r="P42" i="8" s="1"/>
  <c r="L42" i="8"/>
  <c r="P36" i="8"/>
  <c r="O36" i="8"/>
  <c r="P35" i="8"/>
  <c r="O35" i="8"/>
  <c r="M34" i="8"/>
  <c r="P34" i="8" s="1"/>
  <c r="M33" i="8"/>
  <c r="P33" i="8" s="1"/>
  <c r="P32" i="8"/>
  <c r="M32" i="8"/>
  <c r="P31" i="8"/>
  <c r="M31" i="8"/>
  <c r="M29" i="8" s="1"/>
  <c r="M30" i="8"/>
  <c r="P30" i="8" s="1"/>
  <c r="N25" i="8"/>
  <c r="M25" i="8"/>
  <c r="P25" i="8" s="1"/>
  <c r="L25" i="8"/>
  <c r="O25" i="8" s="1"/>
  <c r="N24" i="8"/>
  <c r="M24" i="8"/>
  <c r="P24" i="8" s="1"/>
  <c r="P23" i="8"/>
  <c r="N23" i="8"/>
  <c r="M23" i="8"/>
  <c r="N21" i="8"/>
  <c r="M21" i="8"/>
  <c r="L21" i="8"/>
  <c r="O21" i="8" s="1"/>
  <c r="L19" i="8"/>
  <c r="N15" i="8"/>
  <c r="M13" i="8"/>
  <c r="P13" i="8" s="1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K481" i="7" s="1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K474" i="7" s="1"/>
  <c r="J473" i="7"/>
  <c r="I473" i="7"/>
  <c r="K473" i="7" s="1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K465" i="7" s="1"/>
  <c r="J464" i="7"/>
  <c r="I464" i="7"/>
  <c r="K464" i="7" s="1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K455" i="7" s="1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K376" i="7" s="1"/>
  <c r="J375" i="7"/>
  <c r="I375" i="7"/>
  <c r="K375" i="7" s="1"/>
  <c r="J374" i="7"/>
  <c r="I374" i="7"/>
  <c r="J373" i="7"/>
  <c r="I373" i="7"/>
  <c r="K373" i="7" s="1"/>
  <c r="J372" i="7"/>
  <c r="I372" i="7"/>
  <c r="K372" i="7" s="1"/>
  <c r="J371" i="7"/>
  <c r="I371" i="7"/>
  <c r="K371" i="7" s="1"/>
  <c r="J370" i="7"/>
  <c r="I370" i="7"/>
  <c r="K370" i="7" s="1"/>
  <c r="J369" i="7"/>
  <c r="I369" i="7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O352" i="7" s="1"/>
  <c r="N351" i="7"/>
  <c r="L351" i="7"/>
  <c r="O351" i="7" s="1"/>
  <c r="J350" i="7"/>
  <c r="I350" i="7"/>
  <c r="K350" i="7" s="1"/>
  <c r="N349" i="7"/>
  <c r="L349" i="7"/>
  <c r="O349" i="7" s="1"/>
  <c r="J349" i="7"/>
  <c r="I349" i="7"/>
  <c r="K349" i="7" s="1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O337" i="7" s="1"/>
  <c r="L335" i="7"/>
  <c r="L334" i="7"/>
  <c r="N333" i="7"/>
  <c r="M333" i="7"/>
  <c r="O332" i="7"/>
  <c r="N330" i="7"/>
  <c r="M330" i="7"/>
  <c r="P330" i="7" s="1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N311" i="7"/>
  <c r="M311" i="7"/>
  <c r="P311" i="7" s="1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P291" i="7"/>
  <c r="N291" i="7"/>
  <c r="M291" i="7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N272" i="7"/>
  <c r="M272" i="7"/>
  <c r="P272" i="7" s="1"/>
  <c r="L272" i="7"/>
  <c r="O272" i="7" s="1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N251" i="7"/>
  <c r="M251" i="7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O221" i="7"/>
  <c r="N221" i="7"/>
  <c r="M221" i="7"/>
  <c r="P221" i="7" s="1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N141" i="7"/>
  <c r="M141" i="7"/>
  <c r="L141" i="7"/>
  <c r="O141" i="7" s="1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L124" i="7"/>
  <c r="L123" i="7"/>
  <c r="N122" i="7"/>
  <c r="M122" i="7"/>
  <c r="O121" i="7"/>
  <c r="N119" i="7"/>
  <c r="M119" i="7"/>
  <c r="P119" i="7" s="1"/>
  <c r="L119" i="7"/>
  <c r="O119" i="7" s="1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M96" i="7" s="1"/>
  <c r="P96" i="7" s="1"/>
  <c r="O97" i="7"/>
  <c r="P95" i="7"/>
  <c r="O95" i="7"/>
  <c r="N95" i="7"/>
  <c r="M95" i="7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P70" i="7" s="1"/>
  <c r="O69" i="7"/>
  <c r="P67" i="7"/>
  <c r="N67" i="7"/>
  <c r="M67" i="7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P54" i="7"/>
  <c r="O54" i="7"/>
  <c r="N54" i="7"/>
  <c r="M54" i="7"/>
  <c r="L54" i="7"/>
  <c r="N49" i="7"/>
  <c r="L49" i="7"/>
  <c r="L47" i="7"/>
  <c r="L46" i="7"/>
  <c r="N45" i="7"/>
  <c r="M45" i="7"/>
  <c r="O42" i="7"/>
  <c r="N42" i="7"/>
  <c r="M42" i="7"/>
  <c r="P42" i="7" s="1"/>
  <c r="L42" i="7"/>
  <c r="P36" i="7"/>
  <c r="O36" i="7"/>
  <c r="P35" i="7"/>
  <c r="O35" i="7"/>
  <c r="M34" i="7"/>
  <c r="M14" i="7" s="1"/>
  <c r="M33" i="7"/>
  <c r="P33" i="7" s="1"/>
  <c r="P32" i="7"/>
  <c r="M32" i="7"/>
  <c r="P31" i="7"/>
  <c r="M31" i="7"/>
  <c r="M29" i="7" s="1"/>
  <c r="M30" i="7"/>
  <c r="P30" i="7" s="1"/>
  <c r="N25" i="7"/>
  <c r="M25" i="7"/>
  <c r="P25" i="7" s="1"/>
  <c r="L25" i="7"/>
  <c r="O25" i="7" s="1"/>
  <c r="N24" i="7"/>
  <c r="M24" i="7"/>
  <c r="P24" i="7" s="1"/>
  <c r="P23" i="7"/>
  <c r="N23" i="7"/>
  <c r="M23" i="7"/>
  <c r="N21" i="7"/>
  <c r="M21" i="7"/>
  <c r="L21" i="7"/>
  <c r="O21" i="7" s="1"/>
  <c r="O19" i="7"/>
  <c r="L19" i="7"/>
  <c r="P14" i="7"/>
  <c r="M13" i="7"/>
  <c r="P13" i="7" s="1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6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P330" i="6"/>
  <c r="N330" i="6"/>
  <c r="M330" i="6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P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O291" i="6"/>
  <c r="N291" i="6"/>
  <c r="M291" i="6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O251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N221" i="6"/>
  <c r="M221" i="6"/>
  <c r="P221" i="6" s="1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O141" i="6"/>
  <c r="N141" i="6"/>
  <c r="M141" i="6"/>
  <c r="P141" i="6" s="1"/>
  <c r="L141" i="6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M120" i="6" s="1"/>
  <c r="P120" i="6" s="1"/>
  <c r="O121" i="6"/>
  <c r="P119" i="6"/>
  <c r="O119" i="6"/>
  <c r="N119" i="6"/>
  <c r="M119" i="6"/>
  <c r="L119" i="6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O97" i="6"/>
  <c r="P95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M68" i="6" s="1"/>
  <c r="O69" i="6"/>
  <c r="N67" i="6"/>
  <c r="M67" i="6"/>
  <c r="M67" i="1" s="1"/>
  <c r="P67" i="1" s="1"/>
  <c r="L67" i="6"/>
  <c r="O67" i="6" s="1"/>
  <c r="J65" i="6"/>
  <c r="I65" i="6"/>
  <c r="J64" i="6"/>
  <c r="I64" i="6"/>
  <c r="N61" i="6"/>
  <c r="L61" i="6"/>
  <c r="O61" i="6" s="1"/>
  <c r="L59" i="6"/>
  <c r="L58" i="6"/>
  <c r="N57" i="6"/>
  <c r="M57" i="6"/>
  <c r="M55" i="6" s="1"/>
  <c r="M53" i="6" s="1"/>
  <c r="P54" i="6"/>
  <c r="N54" i="6"/>
  <c r="M54" i="6"/>
  <c r="L54" i="6"/>
  <c r="N49" i="6"/>
  <c r="L49" i="6"/>
  <c r="L47" i="6"/>
  <c r="L46" i="6"/>
  <c r="N45" i="6"/>
  <c r="M45" i="6"/>
  <c r="N42" i="6"/>
  <c r="M42" i="6"/>
  <c r="L42" i="6"/>
  <c r="O42" i="6" s="1"/>
  <c r="P36" i="6"/>
  <c r="O36" i="6"/>
  <c r="P35" i="6"/>
  <c r="O35" i="6"/>
  <c r="P34" i="6"/>
  <c r="M34" i="6"/>
  <c r="M33" i="6"/>
  <c r="P32" i="6"/>
  <c r="M32" i="6"/>
  <c r="P31" i="6"/>
  <c r="M31" i="6"/>
  <c r="M30" i="6"/>
  <c r="P30" i="6" s="1"/>
  <c r="M29" i="6"/>
  <c r="P25" i="6"/>
  <c r="N25" i="6"/>
  <c r="M25" i="6"/>
  <c r="L25" i="6"/>
  <c r="N24" i="6"/>
  <c r="M24" i="6"/>
  <c r="P23" i="6"/>
  <c r="N23" i="6"/>
  <c r="M23" i="6"/>
  <c r="P21" i="6"/>
  <c r="N21" i="6"/>
  <c r="M21" i="6"/>
  <c r="M19" i="6" s="1"/>
  <c r="L21" i="6"/>
  <c r="N19" i="6"/>
  <c r="N15" i="6"/>
  <c r="M15" i="6"/>
  <c r="P15" i="6" s="1"/>
  <c r="M11" i="6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2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J576" i="5"/>
  <c r="I576" i="5"/>
  <c r="K576" i="5" s="1"/>
  <c r="J575" i="5"/>
  <c r="I575" i="5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J381" i="5"/>
  <c r="I381" i="5"/>
  <c r="N380" i="5"/>
  <c r="L380" i="5"/>
  <c r="J380" i="5"/>
  <c r="I380" i="5"/>
  <c r="J379" i="5"/>
  <c r="J378" i="5"/>
  <c r="J377" i="5"/>
  <c r="I377" i="5"/>
  <c r="J376" i="5"/>
  <c r="I376" i="5"/>
  <c r="K376" i="5" s="1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P330" i="5"/>
  <c r="N330" i="5"/>
  <c r="M330" i="5"/>
  <c r="L330" i="5"/>
  <c r="O330" i="5" s="1"/>
  <c r="J328" i="5"/>
  <c r="I328" i="5"/>
  <c r="J326" i="5"/>
  <c r="J325" i="5"/>
  <c r="J324" i="5"/>
  <c r="I324" i="5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P311" i="5"/>
  <c r="N311" i="5"/>
  <c r="M311" i="5"/>
  <c r="L311" i="5"/>
  <c r="J309" i="5"/>
  <c r="I309" i="5"/>
  <c r="J308" i="5"/>
  <c r="J307" i="5"/>
  <c r="J306" i="5"/>
  <c r="I306" i="5"/>
  <c r="J304" i="5"/>
  <c r="I304" i="5"/>
  <c r="J303" i="5"/>
  <c r="J302" i="5"/>
  <c r="J301" i="5"/>
  <c r="J300" i="5"/>
  <c r="N298" i="5"/>
  <c r="L298" i="5"/>
  <c r="O298" i="5" s="1"/>
  <c r="L296" i="5"/>
  <c r="L295" i="5"/>
  <c r="N294" i="5"/>
  <c r="M294" i="5"/>
  <c r="M292" i="5" s="1"/>
  <c r="O293" i="5"/>
  <c r="O291" i="5"/>
  <c r="N291" i="5"/>
  <c r="M291" i="5"/>
  <c r="L291" i="5"/>
  <c r="J289" i="5"/>
  <c r="I289" i="5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M271" i="5" s="1"/>
  <c r="O274" i="5"/>
  <c r="P272" i="5"/>
  <c r="O272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M252" i="5" s="1"/>
  <c r="P252" i="5" s="1"/>
  <c r="O253" i="5"/>
  <c r="O251" i="5"/>
  <c r="N251" i="5"/>
  <c r="M251" i="5"/>
  <c r="P251" i="5" s="1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K235" i="5" s="1"/>
  <c r="J234" i="5"/>
  <c r="J233" i="5"/>
  <c r="J232" i="5"/>
  <c r="J231" i="5"/>
  <c r="J229" i="5"/>
  <c r="I229" i="5"/>
  <c r="K229" i="5" s="1"/>
  <c r="N228" i="5"/>
  <c r="L228" i="5"/>
  <c r="O228" i="5" s="1"/>
  <c r="L226" i="5"/>
  <c r="L225" i="5"/>
  <c r="N224" i="5"/>
  <c r="M224" i="5"/>
  <c r="P224" i="5" s="1"/>
  <c r="O223" i="5"/>
  <c r="P221" i="5"/>
  <c r="N221" i="5"/>
  <c r="M221" i="5"/>
  <c r="L221" i="5"/>
  <c r="J219" i="5"/>
  <c r="I219" i="5"/>
  <c r="K219" i="5" s="1"/>
  <c r="J218" i="5"/>
  <c r="J217" i="5"/>
  <c r="J216" i="5"/>
  <c r="I216" i="5"/>
  <c r="K216" i="5" s="1"/>
  <c r="J215" i="5"/>
  <c r="I215" i="5"/>
  <c r="J213" i="5"/>
  <c r="I213" i="5"/>
  <c r="J212" i="5"/>
  <c r="J211" i="5"/>
  <c r="J210" i="5"/>
  <c r="J209" i="5"/>
  <c r="J204" i="5"/>
  <c r="I204" i="5"/>
  <c r="J203" i="5"/>
  <c r="J202" i="5"/>
  <c r="J201" i="5"/>
  <c r="I201" i="5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O141" i="5"/>
  <c r="N141" i="5"/>
  <c r="M141" i="5"/>
  <c r="P141" i="5" s="1"/>
  <c r="L141" i="5"/>
  <c r="J138" i="5"/>
  <c r="I138" i="5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M118" i="5" s="1"/>
  <c r="O121" i="5"/>
  <c r="P119" i="5"/>
  <c r="O119" i="5"/>
  <c r="N119" i="5"/>
  <c r="M119" i="5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O95" i="5"/>
  <c r="N95" i="5"/>
  <c r="M95" i="5"/>
  <c r="P95" i="5" s="1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P67" i="5"/>
  <c r="O67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O54" i="5"/>
  <c r="N54" i="5"/>
  <c r="M54" i="5"/>
  <c r="P54" i="5" s="1"/>
  <c r="L54" i="5"/>
  <c r="N49" i="5"/>
  <c r="L49" i="5"/>
  <c r="L47" i="5"/>
  <c r="L46" i="5"/>
  <c r="N45" i="5"/>
  <c r="M45" i="5"/>
  <c r="O42" i="5"/>
  <c r="N42" i="5"/>
  <c r="M42" i="5"/>
  <c r="L42" i="5"/>
  <c r="P36" i="5"/>
  <c r="O36" i="5"/>
  <c r="P35" i="5"/>
  <c r="O35" i="5"/>
  <c r="P34" i="5"/>
  <c r="M34" i="5"/>
  <c r="M33" i="5"/>
  <c r="M32" i="5"/>
  <c r="M30" i="5" s="1"/>
  <c r="M31" i="5"/>
  <c r="P31" i="5" s="1"/>
  <c r="P30" i="5"/>
  <c r="M29" i="5"/>
  <c r="N25" i="5"/>
  <c r="M25" i="5"/>
  <c r="L25" i="5"/>
  <c r="N24" i="5"/>
  <c r="M24" i="5"/>
  <c r="N23" i="5"/>
  <c r="M23" i="5"/>
  <c r="P23" i="5" s="1"/>
  <c r="P21" i="5"/>
  <c r="N21" i="5"/>
  <c r="M21" i="5"/>
  <c r="L21" i="5"/>
  <c r="N19" i="5"/>
  <c r="N15" i="5"/>
  <c r="M11" i="5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6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P330" i="4"/>
  <c r="O330" i="4"/>
  <c r="N330" i="4"/>
  <c r="M330" i="4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P314" i="4" s="1"/>
  <c r="O313" i="4"/>
  <c r="P311" i="4"/>
  <c r="O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P291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O272" i="4"/>
  <c r="N272" i="4"/>
  <c r="M272" i="4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N221" i="4"/>
  <c r="M221" i="4"/>
  <c r="P221" i="4" s="1"/>
  <c r="L221" i="4"/>
  <c r="O221" i="4" s="1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N141" i="4"/>
  <c r="M141" i="4"/>
  <c r="L141" i="4"/>
  <c r="J138" i="4"/>
  <c r="I138" i="4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N119" i="4"/>
  <c r="M119" i="4"/>
  <c r="L119" i="4"/>
  <c r="O119" i="4" s="1"/>
  <c r="J117" i="4"/>
  <c r="I117" i="4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N95" i="4"/>
  <c r="M95" i="4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P70" i="4" s="1"/>
  <c r="O69" i="4"/>
  <c r="N67" i="4"/>
  <c r="M67" i="4"/>
  <c r="L67" i="4"/>
  <c r="O67" i="4" s="1"/>
  <c r="J65" i="4"/>
  <c r="I65" i="4"/>
  <c r="K65" i="4" s="1"/>
  <c r="J64" i="4"/>
  <c r="I64" i="4"/>
  <c r="K64" i="4" s="1"/>
  <c r="N61" i="4"/>
  <c r="L61" i="4"/>
  <c r="L59" i="4"/>
  <c r="L58" i="4"/>
  <c r="N57" i="4"/>
  <c r="M57" i="4"/>
  <c r="N54" i="4"/>
  <c r="M54" i="4"/>
  <c r="L54" i="4"/>
  <c r="N49" i="4"/>
  <c r="L49" i="4"/>
  <c r="M49" i="4" s="1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M34" i="4"/>
  <c r="P34" i="4" s="1"/>
  <c r="P33" i="4"/>
  <c r="M33" i="4"/>
  <c r="M32" i="4"/>
  <c r="M31" i="4"/>
  <c r="P31" i="4" s="1"/>
  <c r="N25" i="4"/>
  <c r="N15" i="4" s="1"/>
  <c r="M25" i="4"/>
  <c r="P25" i="4" s="1"/>
  <c r="L25" i="4"/>
  <c r="O25" i="4" s="1"/>
  <c r="P24" i="4"/>
  <c r="N24" i="4"/>
  <c r="M24" i="4"/>
  <c r="N23" i="4"/>
  <c r="M23" i="4"/>
  <c r="O21" i="4"/>
  <c r="N21" i="4"/>
  <c r="M21" i="4"/>
  <c r="M19" i="4" s="1"/>
  <c r="P19" i="4" s="1"/>
  <c r="L21" i="4"/>
  <c r="L19" i="4"/>
  <c r="O19" i="4" s="1"/>
  <c r="M14" i="4"/>
  <c r="P14" i="4" s="1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5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K377" i="3" s="1"/>
  <c r="J376" i="3"/>
  <c r="I376" i="3"/>
  <c r="K376" i="3" s="1"/>
  <c r="J375" i="3"/>
  <c r="I375" i="3"/>
  <c r="K375" i="3" s="1"/>
  <c r="J374" i="3"/>
  <c r="I374" i="3"/>
  <c r="J373" i="3"/>
  <c r="I373" i="3"/>
  <c r="K373" i="3" s="1"/>
  <c r="J372" i="3"/>
  <c r="I372" i="3"/>
  <c r="K372" i="3" s="1"/>
  <c r="J371" i="3"/>
  <c r="I371" i="3"/>
  <c r="K371" i="3" s="1"/>
  <c r="J370" i="3"/>
  <c r="I370" i="3"/>
  <c r="K370" i="3" s="1"/>
  <c r="J369" i="3"/>
  <c r="I369" i="3"/>
  <c r="K369" i="3" s="1"/>
  <c r="J368" i="3"/>
  <c r="I368" i="3"/>
  <c r="K368" i="3" s="1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O354" i="3" s="1"/>
  <c r="N353" i="3"/>
  <c r="L353" i="3"/>
  <c r="N352" i="3"/>
  <c r="L352" i="3"/>
  <c r="O352" i="3" s="1"/>
  <c r="N351" i="3"/>
  <c r="L351" i="3"/>
  <c r="O351" i="3" s="1"/>
  <c r="J350" i="3"/>
  <c r="I350" i="3"/>
  <c r="K350" i="3" s="1"/>
  <c r="N349" i="3"/>
  <c r="L349" i="3"/>
  <c r="O349" i="3" s="1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N330" i="3"/>
  <c r="M330" i="3"/>
  <c r="P330" i="3" s="1"/>
  <c r="L330" i="3"/>
  <c r="O330" i="3" s="1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P311" i="3"/>
  <c r="O311" i="3"/>
  <c r="N311" i="3"/>
  <c r="M311" i="3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P291" i="3"/>
  <c r="N291" i="3"/>
  <c r="M291" i="3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L277" i="3"/>
  <c r="L276" i="3"/>
  <c r="N275" i="3"/>
  <c r="M275" i="3"/>
  <c r="M273" i="3" s="1"/>
  <c r="M271" i="3" s="1"/>
  <c r="O274" i="3"/>
  <c r="P272" i="3"/>
  <c r="O272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O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N221" i="3"/>
  <c r="M221" i="3"/>
  <c r="P221" i="3" s="1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L146" i="3"/>
  <c r="L145" i="3"/>
  <c r="N144" i="3"/>
  <c r="M144" i="3"/>
  <c r="O143" i="3"/>
  <c r="P141" i="3"/>
  <c r="O141" i="3"/>
  <c r="N141" i="3"/>
  <c r="M141" i="3"/>
  <c r="L141" i="3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P120" i="3" s="1"/>
  <c r="O121" i="3"/>
  <c r="P119" i="3"/>
  <c r="O119" i="3"/>
  <c r="N119" i="3"/>
  <c r="M119" i="3"/>
  <c r="L119" i="3"/>
  <c r="J117" i="3"/>
  <c r="I117" i="3"/>
  <c r="K117" i="3" s="1"/>
  <c r="J115" i="3"/>
  <c r="J114" i="3"/>
  <c r="J113" i="3"/>
  <c r="I113" i="3"/>
  <c r="K113" i="3" s="1"/>
  <c r="J112" i="3"/>
  <c r="I112" i="3"/>
  <c r="K112" i="3" s="1"/>
  <c r="J111" i="3"/>
  <c r="I111" i="3"/>
  <c r="K111" i="3" s="1"/>
  <c r="J110" i="3"/>
  <c r="I110" i="3"/>
  <c r="K110" i="3" s="1"/>
  <c r="J109" i="3"/>
  <c r="I109" i="3"/>
  <c r="K109" i="3" s="1"/>
  <c r="J108" i="3"/>
  <c r="I108" i="3"/>
  <c r="K108" i="3" s="1"/>
  <c r="J107" i="3"/>
  <c r="J106" i="3"/>
  <c r="J105" i="3"/>
  <c r="J104" i="3"/>
  <c r="N102" i="3"/>
  <c r="L102" i="3"/>
  <c r="L100" i="3"/>
  <c r="L99" i="3"/>
  <c r="N98" i="3"/>
  <c r="M98" i="3"/>
  <c r="M96" i="3" s="1"/>
  <c r="P96" i="3" s="1"/>
  <c r="O97" i="3"/>
  <c r="P95" i="3"/>
  <c r="N95" i="3"/>
  <c r="M95" i="3"/>
  <c r="L95" i="3"/>
  <c r="J93" i="3"/>
  <c r="I93" i="3"/>
  <c r="K93" i="3" s="1"/>
  <c r="J92" i="3"/>
  <c r="I92" i="3"/>
  <c r="K92" i="3" s="1"/>
  <c r="J90" i="3"/>
  <c r="J89" i="3"/>
  <c r="J88" i="3"/>
  <c r="I88" i="3"/>
  <c r="K88" i="3" s="1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M74" i="3" s="1"/>
  <c r="L72" i="3"/>
  <c r="L71" i="3"/>
  <c r="N70" i="3"/>
  <c r="M70" i="3"/>
  <c r="O69" i="3"/>
  <c r="P67" i="3"/>
  <c r="O67" i="3"/>
  <c r="N67" i="3"/>
  <c r="M67" i="3"/>
  <c r="L67" i="3"/>
  <c r="J65" i="3"/>
  <c r="I65" i="3"/>
  <c r="J64" i="3"/>
  <c r="I64" i="3"/>
  <c r="N61" i="3"/>
  <c r="L61" i="3"/>
  <c r="L59" i="3"/>
  <c r="L58" i="3"/>
  <c r="N57" i="3"/>
  <c r="M57" i="3"/>
  <c r="M55" i="3" s="1"/>
  <c r="M53" i="3" s="1"/>
  <c r="P54" i="3"/>
  <c r="O54" i="3"/>
  <c r="N54" i="3"/>
  <c r="M54" i="3"/>
  <c r="L54" i="3"/>
  <c r="N49" i="3"/>
  <c r="L49" i="3"/>
  <c r="O49" i="3" s="1"/>
  <c r="L47" i="3"/>
  <c r="L46" i="3"/>
  <c r="N45" i="3"/>
  <c r="M45" i="3"/>
  <c r="P42" i="3"/>
  <c r="O42" i="3"/>
  <c r="N42" i="3"/>
  <c r="M42" i="3"/>
  <c r="L42" i="3"/>
  <c r="P36" i="3"/>
  <c r="O36" i="3"/>
  <c r="P35" i="3"/>
  <c r="O35" i="3"/>
  <c r="M34" i="3"/>
  <c r="P34" i="3" s="1"/>
  <c r="P33" i="3"/>
  <c r="M33" i="3"/>
  <c r="P32" i="3"/>
  <c r="M32" i="3"/>
  <c r="M31" i="3"/>
  <c r="P31" i="3" s="1"/>
  <c r="P30" i="3"/>
  <c r="M30" i="3"/>
  <c r="N25" i="3"/>
  <c r="N15" i="3" s="1"/>
  <c r="M25" i="3"/>
  <c r="P25" i="3" s="1"/>
  <c r="L25" i="3"/>
  <c r="L19" i="3" s="1"/>
  <c r="P24" i="3"/>
  <c r="N24" i="3"/>
  <c r="M24" i="3"/>
  <c r="N23" i="3"/>
  <c r="M23" i="3"/>
  <c r="M13" i="3" s="1"/>
  <c r="P13" i="3" s="1"/>
  <c r="O21" i="3"/>
  <c r="N21" i="3"/>
  <c r="M21" i="3"/>
  <c r="M19" i="3" s="1"/>
  <c r="L21" i="3"/>
  <c r="P14" i="3"/>
  <c r="M14" i="3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2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K595" i="2" s="1"/>
  <c r="J594" i="2"/>
  <c r="I594" i="2"/>
  <c r="K594" i="2" s="1"/>
  <c r="J593" i="2"/>
  <c r="I593" i="2"/>
  <c r="J592" i="2"/>
  <c r="I592" i="2"/>
  <c r="J591" i="2"/>
  <c r="I591" i="2"/>
  <c r="K591" i="2" s="1"/>
  <c r="J590" i="2"/>
  <c r="I590" i="2"/>
  <c r="K590" i="2" s="1"/>
  <c r="J589" i="2"/>
  <c r="I589" i="2"/>
  <c r="N588" i="2"/>
  <c r="N587" i="2"/>
  <c r="N586" i="2"/>
  <c r="N585" i="2"/>
  <c r="N584" i="2"/>
  <c r="L584" i="2"/>
  <c r="O584" i="2" s="1"/>
  <c r="N583" i="2"/>
  <c r="L583" i="2"/>
  <c r="O583" i="2" s="1"/>
  <c r="N582" i="2"/>
  <c r="L582" i="2"/>
  <c r="O582" i="2" s="1"/>
  <c r="N581" i="2"/>
  <c r="L581" i="2"/>
  <c r="N580" i="2"/>
  <c r="L580" i="2"/>
  <c r="O580" i="2" s="1"/>
  <c r="J580" i="2"/>
  <c r="I580" i="2"/>
  <c r="K580" i="2" s="1"/>
  <c r="J579" i="2"/>
  <c r="I579" i="2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N566" i="2"/>
  <c r="L566" i="2"/>
  <c r="N565" i="2"/>
  <c r="L565" i="2"/>
  <c r="N564" i="2"/>
  <c r="L564" i="2"/>
  <c r="J564" i="2"/>
  <c r="I564" i="2"/>
  <c r="J561" i="2"/>
  <c r="I561" i="2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J509" i="2"/>
  <c r="I509" i="2"/>
  <c r="J508" i="2"/>
  <c r="I508" i="2"/>
  <c r="K508" i="2" s="1"/>
  <c r="J507" i="2"/>
  <c r="I507" i="2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J493" i="2"/>
  <c r="I493" i="2"/>
  <c r="K493" i="2" s="1"/>
  <c r="J492" i="2"/>
  <c r="I492" i="2"/>
  <c r="K492" i="2" s="1"/>
  <c r="J491" i="2"/>
  <c r="I491" i="2"/>
  <c r="J490" i="2"/>
  <c r="I490" i="2"/>
  <c r="K490" i="2" s="1"/>
  <c r="J489" i="2"/>
  <c r="I489" i="2"/>
  <c r="K489" i="2" s="1"/>
  <c r="J488" i="2"/>
  <c r="I488" i="2"/>
  <c r="J487" i="2"/>
  <c r="I487" i="2"/>
  <c r="K487" i="2" s="1"/>
  <c r="J486" i="2"/>
  <c r="I486" i="2"/>
  <c r="J485" i="2"/>
  <c r="I485" i="2"/>
  <c r="K485" i="2" s="1"/>
  <c r="J484" i="2"/>
  <c r="I484" i="2"/>
  <c r="K484" i="2" s="1"/>
  <c r="J483" i="2"/>
  <c r="I483" i="2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J477" i="2"/>
  <c r="I477" i="2"/>
  <c r="K477" i="2" s="1"/>
  <c r="J476" i="2"/>
  <c r="I476" i="2"/>
  <c r="K476" i="2" s="1"/>
  <c r="J475" i="2"/>
  <c r="I475" i="2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J469" i="2"/>
  <c r="I469" i="2"/>
  <c r="K469" i="2" s="1"/>
  <c r="J468" i="2"/>
  <c r="I468" i="2"/>
  <c r="K468" i="2" s="1"/>
  <c r="J467" i="2"/>
  <c r="I467" i="2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J345" i="2"/>
  <c r="I345" i="2"/>
  <c r="J344" i="2"/>
  <c r="I344" i="2"/>
  <c r="K344" i="2" s="1"/>
  <c r="J343" i="2"/>
  <c r="I343" i="2"/>
  <c r="J342" i="2"/>
  <c r="I342" i="2"/>
  <c r="J341" i="2"/>
  <c r="I341" i="2"/>
  <c r="J340" i="2"/>
  <c r="I340" i="2"/>
  <c r="J339" i="2"/>
  <c r="I339" i="2"/>
  <c r="N337" i="2"/>
  <c r="L337" i="2"/>
  <c r="O337" i="2" s="1"/>
  <c r="L335" i="2"/>
  <c r="L334" i="2"/>
  <c r="N333" i="2"/>
  <c r="M333" i="2"/>
  <c r="O332" i="2"/>
  <c r="P330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P311" i="2"/>
  <c r="O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M298" i="2" s="1"/>
  <c r="L296" i="2"/>
  <c r="L295" i="2"/>
  <c r="N294" i="2"/>
  <c r="M294" i="2"/>
  <c r="O293" i="2"/>
  <c r="P291" i="2"/>
  <c r="O291" i="2"/>
  <c r="N291" i="2"/>
  <c r="M291" i="2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P272" i="2"/>
  <c r="O272" i="2"/>
  <c r="N272" i="2"/>
  <c r="M272" i="2"/>
  <c r="L272" i="2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O253" i="2"/>
  <c r="P251" i="2"/>
  <c r="O251" i="2"/>
  <c r="N251" i="2"/>
  <c r="M251" i="2"/>
  <c r="L251" i="2"/>
  <c r="J249" i="2"/>
  <c r="I249" i="2"/>
  <c r="J246" i="2"/>
  <c r="J245" i="2"/>
  <c r="J244" i="2"/>
  <c r="I244" i="2"/>
  <c r="J243" i="2"/>
  <c r="J242" i="2"/>
  <c r="J241" i="2"/>
  <c r="J240" i="2"/>
  <c r="J238" i="2"/>
  <c r="I238" i="2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N221" i="2"/>
  <c r="M221" i="2"/>
  <c r="P221" i="2" s="1"/>
  <c r="L221" i="2"/>
  <c r="O221" i="2" s="1"/>
  <c r="J219" i="2"/>
  <c r="I219" i="2"/>
  <c r="J218" i="2"/>
  <c r="J217" i="2"/>
  <c r="J216" i="2"/>
  <c r="I216" i="2"/>
  <c r="J215" i="2"/>
  <c r="I215" i="2"/>
  <c r="K215" i="2" s="1"/>
  <c r="J213" i="2"/>
  <c r="I213" i="2"/>
  <c r="J212" i="2"/>
  <c r="J211" i="2"/>
  <c r="J210" i="2"/>
  <c r="J209" i="2"/>
  <c r="J204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O141" i="2"/>
  <c r="N141" i="2"/>
  <c r="M141" i="2"/>
  <c r="L141" i="2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L126" i="2"/>
  <c r="L124" i="2"/>
  <c r="L123" i="2"/>
  <c r="N122" i="2"/>
  <c r="M122" i="2"/>
  <c r="O121" i="2"/>
  <c r="P119" i="2"/>
  <c r="O119" i="2"/>
  <c r="N119" i="2"/>
  <c r="M119" i="2"/>
  <c r="L119" i="2"/>
  <c r="J117" i="2"/>
  <c r="I117" i="2"/>
  <c r="J115" i="2"/>
  <c r="J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J106" i="2"/>
  <c r="J105" i="2"/>
  <c r="J104" i="2"/>
  <c r="N102" i="2"/>
  <c r="L102" i="2"/>
  <c r="L100" i="2"/>
  <c r="L99" i="2"/>
  <c r="N98" i="2"/>
  <c r="M98" i="2"/>
  <c r="O97" i="2"/>
  <c r="P95" i="2"/>
  <c r="O95" i="2"/>
  <c r="N95" i="2"/>
  <c r="M95" i="2"/>
  <c r="L95" i="2"/>
  <c r="J93" i="2"/>
  <c r="I93" i="2"/>
  <c r="J92" i="2"/>
  <c r="I92" i="2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J83" i="2"/>
  <c r="I83" i="2"/>
  <c r="K83" i="2" s="1"/>
  <c r="J82" i="2"/>
  <c r="I82" i="2"/>
  <c r="K82" i="2" s="1"/>
  <c r="J81" i="2"/>
  <c r="I81" i="2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P70" i="2" s="1"/>
  <c r="O69" i="2"/>
  <c r="P67" i="2"/>
  <c r="O67" i="2"/>
  <c r="N67" i="2"/>
  <c r="M67" i="2"/>
  <c r="L67" i="2"/>
  <c r="J65" i="2"/>
  <c r="I65" i="2"/>
  <c r="K65" i="2" s="1"/>
  <c r="J64" i="2"/>
  <c r="I64" i="2"/>
  <c r="N61" i="2"/>
  <c r="L61" i="2"/>
  <c r="O61" i="2" s="1"/>
  <c r="L59" i="2"/>
  <c r="L58" i="2"/>
  <c r="N57" i="2"/>
  <c r="M57" i="2"/>
  <c r="P54" i="2"/>
  <c r="O54" i="2"/>
  <c r="N54" i="2"/>
  <c r="M54" i="2"/>
  <c r="L54" i="2"/>
  <c r="N49" i="2"/>
  <c r="L49" i="2"/>
  <c r="M49" i="2" s="1"/>
  <c r="L47" i="2"/>
  <c r="L46" i="2"/>
  <c r="N45" i="2"/>
  <c r="M45" i="2"/>
  <c r="P42" i="2"/>
  <c r="O42" i="2"/>
  <c r="N42" i="2"/>
  <c r="M42" i="2"/>
  <c r="L42" i="2"/>
  <c r="P36" i="2"/>
  <c r="O36" i="2"/>
  <c r="P35" i="2"/>
  <c r="O35" i="2"/>
  <c r="M34" i="2"/>
  <c r="M14" i="2" s="1"/>
  <c r="P14" i="2" s="1"/>
  <c r="P33" i="2"/>
  <c r="M33" i="2"/>
  <c r="P32" i="2"/>
  <c r="M32" i="2"/>
  <c r="M30" i="2" s="1"/>
  <c r="P30" i="2" s="1"/>
  <c r="M31" i="2"/>
  <c r="M29" i="2" s="1"/>
  <c r="N25" i="2"/>
  <c r="N15" i="2" s="1"/>
  <c r="M25" i="2"/>
  <c r="P25" i="2" s="1"/>
  <c r="L25" i="2"/>
  <c r="O25" i="2" s="1"/>
  <c r="P24" i="2"/>
  <c r="N24" i="2"/>
  <c r="M24" i="2"/>
  <c r="P23" i="2"/>
  <c r="N23" i="2"/>
  <c r="M23" i="2"/>
  <c r="P21" i="2"/>
  <c r="O21" i="2"/>
  <c r="N21" i="2"/>
  <c r="N19" i="2" s="1"/>
  <c r="M21" i="2"/>
  <c r="M19" i="2" s="1"/>
  <c r="L21" i="2"/>
  <c r="L19" i="2"/>
  <c r="O19" i="2" s="1"/>
  <c r="M13" i="2"/>
  <c r="P13" i="2" s="1"/>
  <c r="I548" i="1"/>
  <c r="K548" i="1" s="1"/>
  <c r="I365" i="1"/>
  <c r="K365" i="1" s="1"/>
  <c r="L336" i="1"/>
  <c r="N332" i="1"/>
  <c r="M332" i="1"/>
  <c r="L332" i="1"/>
  <c r="O332" i="1" s="1"/>
  <c r="N330" i="1"/>
  <c r="M330" i="1"/>
  <c r="P330" i="1" s="1"/>
  <c r="L330" i="1"/>
  <c r="O330" i="1" s="1"/>
  <c r="L317" i="1"/>
  <c r="N313" i="1"/>
  <c r="M313" i="1"/>
  <c r="L313" i="1"/>
  <c r="O313" i="1" s="1"/>
  <c r="M311" i="1"/>
  <c r="P311" i="1" s="1"/>
  <c r="J307" i="1"/>
  <c r="L297" i="1"/>
  <c r="N293" i="1"/>
  <c r="M293" i="1"/>
  <c r="L293" i="1"/>
  <c r="O293" i="1" s="1"/>
  <c r="N291" i="1"/>
  <c r="M291" i="1"/>
  <c r="P291" i="1" s="1"/>
  <c r="L278" i="1"/>
  <c r="N274" i="1"/>
  <c r="M274" i="1"/>
  <c r="L274" i="1"/>
  <c r="O274" i="1" s="1"/>
  <c r="N272" i="1"/>
  <c r="L272" i="1"/>
  <c r="O272" i="1" s="1"/>
  <c r="L257" i="1"/>
  <c r="N253" i="1"/>
  <c r="M253" i="1"/>
  <c r="L253" i="1"/>
  <c r="O253" i="1" s="1"/>
  <c r="L251" i="1"/>
  <c r="O251" i="1" s="1"/>
  <c r="J240" i="1"/>
  <c r="L227" i="1"/>
  <c r="N223" i="1"/>
  <c r="M223" i="1"/>
  <c r="L223" i="1"/>
  <c r="O223" i="1" s="1"/>
  <c r="N221" i="1"/>
  <c r="J214" i="1"/>
  <c r="I214" i="1"/>
  <c r="J198" i="1"/>
  <c r="L147" i="1"/>
  <c r="N143" i="1"/>
  <c r="M143" i="1"/>
  <c r="L143" i="1"/>
  <c r="O143" i="1" s="1"/>
  <c r="M141" i="1"/>
  <c r="P141" i="1" s="1"/>
  <c r="L141" i="1"/>
  <c r="O141" i="1" s="1"/>
  <c r="L125" i="1"/>
  <c r="N121" i="1"/>
  <c r="M121" i="1"/>
  <c r="L121" i="1"/>
  <c r="O121" i="1" s="1"/>
  <c r="M119" i="1"/>
  <c r="P119" i="1" s="1"/>
  <c r="L101" i="1"/>
  <c r="N97" i="1"/>
  <c r="M97" i="1"/>
  <c r="L97" i="1"/>
  <c r="O97" i="1" s="1"/>
  <c r="N95" i="1"/>
  <c r="L95" i="1"/>
  <c r="O95" i="1" s="1"/>
  <c r="L73" i="1"/>
  <c r="O69" i="1"/>
  <c r="N69" i="1"/>
  <c r="M69" i="1"/>
  <c r="L69" i="1"/>
  <c r="L60" i="1"/>
  <c r="L56" i="1"/>
  <c r="L54" i="1" s="1"/>
  <c r="O54" i="1" s="1"/>
  <c r="N54" i="1"/>
  <c r="M54" i="1"/>
  <c r="P54" i="1" s="1"/>
  <c r="L48" i="1"/>
  <c r="L44" i="1"/>
  <c r="P42" i="1"/>
  <c r="N42" i="1"/>
  <c r="M42" i="1"/>
  <c r="P36" i="1"/>
  <c r="O36" i="1"/>
  <c r="P35" i="1"/>
  <c r="O35" i="1"/>
  <c r="M34" i="1"/>
  <c r="M14" i="1" s="1"/>
  <c r="P14" i="1" s="1"/>
  <c r="P33" i="1"/>
  <c r="M33" i="1"/>
  <c r="M32" i="1"/>
  <c r="M30" i="1" s="1"/>
  <c r="P30" i="1" s="1"/>
  <c r="M31" i="1"/>
  <c r="P31" i="1" s="1"/>
  <c r="M29" i="1"/>
  <c r="P29" i="1" s="1"/>
  <c r="N25" i="1"/>
  <c r="N15" i="1" s="1"/>
  <c r="M25" i="1"/>
  <c r="P25" i="1" s="1"/>
  <c r="P24" i="1"/>
  <c r="N24" i="1"/>
  <c r="M24" i="1"/>
  <c r="N23" i="1"/>
  <c r="M23" i="1"/>
  <c r="P23" i="1" s="1"/>
  <c r="O406" i="11" l="1"/>
  <c r="O437" i="14"/>
  <c r="K455" i="14"/>
  <c r="L119" i="1"/>
  <c r="O119" i="1" s="1"/>
  <c r="M13" i="10"/>
  <c r="P13" i="10" s="1"/>
  <c r="M95" i="1"/>
  <c r="P95" i="1" s="1"/>
  <c r="L67" i="1"/>
  <c r="O67" i="1" s="1"/>
  <c r="L291" i="1"/>
  <c r="O291" i="1" s="1"/>
  <c r="P21" i="10"/>
  <c r="M11" i="10"/>
  <c r="L25" i="1"/>
  <c r="O25" i="1" s="1"/>
  <c r="N21" i="1"/>
  <c r="N19" i="1" s="1"/>
  <c r="M15" i="10"/>
  <c r="P15" i="10" s="1"/>
  <c r="L19" i="10"/>
  <c r="M29" i="10"/>
  <c r="P23" i="10"/>
  <c r="L21" i="1"/>
  <c r="M14" i="10"/>
  <c r="P14" i="10" s="1"/>
  <c r="N19" i="10"/>
  <c r="P32" i="10"/>
  <c r="M21" i="1"/>
  <c r="M19" i="1" s="1"/>
  <c r="L42" i="1"/>
  <c r="O42" i="1" s="1"/>
  <c r="N55" i="7"/>
  <c r="K421" i="7"/>
  <c r="O437" i="7"/>
  <c r="K432" i="15"/>
  <c r="K564" i="19"/>
  <c r="K573" i="19"/>
  <c r="K108" i="19"/>
  <c r="N68" i="21"/>
  <c r="N66" i="21" s="1"/>
  <c r="N96" i="21"/>
  <c r="N94" i="21" s="1"/>
  <c r="K368" i="12"/>
  <c r="K626" i="22"/>
  <c r="P224" i="16"/>
  <c r="K420" i="16"/>
  <c r="K428" i="16"/>
  <c r="K432" i="16"/>
  <c r="K428" i="22"/>
  <c r="K449" i="22"/>
  <c r="O566" i="22"/>
  <c r="K635" i="22"/>
  <c r="K482" i="4"/>
  <c r="K634" i="4"/>
  <c r="K499" i="5"/>
  <c r="K380" i="10"/>
  <c r="K435" i="10"/>
  <c r="O597" i="9"/>
  <c r="K613" i="4"/>
  <c r="N43" i="7"/>
  <c r="N41" i="7" s="1"/>
  <c r="K628" i="14"/>
  <c r="K632" i="14"/>
  <c r="K616" i="20"/>
  <c r="K428" i="6"/>
  <c r="O457" i="6"/>
  <c r="P45" i="7"/>
  <c r="O406" i="9"/>
  <c r="O401" i="20"/>
  <c r="K422" i="20"/>
  <c r="K426" i="20"/>
  <c r="K430" i="20"/>
  <c r="K435" i="20"/>
  <c r="K620" i="20"/>
  <c r="O404" i="16"/>
  <c r="K421" i="16"/>
  <c r="K425" i="16"/>
  <c r="K632" i="22"/>
  <c r="K423" i="9"/>
  <c r="O435" i="9"/>
  <c r="O537" i="22"/>
  <c r="K634" i="22"/>
  <c r="K630" i="2"/>
  <c r="L57" i="5"/>
  <c r="O57" i="5" s="1"/>
  <c r="K629" i="12"/>
  <c r="K633" i="12"/>
  <c r="K173" i="18"/>
  <c r="M292" i="22"/>
  <c r="P292" i="22" s="1"/>
  <c r="K634" i="2"/>
  <c r="K547" i="16"/>
  <c r="O566" i="16"/>
  <c r="O597" i="16"/>
  <c r="O601" i="16"/>
  <c r="K631" i="16"/>
  <c r="K635" i="16"/>
  <c r="O457" i="13"/>
  <c r="K401" i="4"/>
  <c r="O404" i="4"/>
  <c r="K455" i="4"/>
  <c r="K464" i="4"/>
  <c r="K429" i="12"/>
  <c r="O597" i="14"/>
  <c r="O601" i="14"/>
  <c r="O435" i="15"/>
  <c r="K474" i="15"/>
  <c r="K425" i="18"/>
  <c r="K429" i="18"/>
  <c r="K464" i="18"/>
  <c r="K591" i="18"/>
  <c r="K595" i="18"/>
  <c r="K416" i="19"/>
  <c r="K547" i="19"/>
  <c r="O435" i="20"/>
  <c r="J343" i="1"/>
  <c r="N386" i="1"/>
  <c r="K423" i="18"/>
  <c r="K149" i="19"/>
  <c r="N292" i="22"/>
  <c r="N441" i="1"/>
  <c r="N534" i="1"/>
  <c r="O349" i="19"/>
  <c r="M312" i="9"/>
  <c r="M310" i="9" s="1"/>
  <c r="P310" i="9" s="1"/>
  <c r="P314" i="22"/>
  <c r="K628" i="2"/>
  <c r="N273" i="12"/>
  <c r="N271" i="12" s="1"/>
  <c r="M331" i="18"/>
  <c r="N142" i="4"/>
  <c r="N140" i="4" s="1"/>
  <c r="K189" i="18"/>
  <c r="M222" i="5"/>
  <c r="M220" i="5" s="1"/>
  <c r="P220" i="5" s="1"/>
  <c r="M94" i="7"/>
  <c r="P94" i="7" s="1"/>
  <c r="M66" i="9"/>
  <c r="P66" i="9" s="1"/>
  <c r="N292" i="13"/>
  <c r="N290" i="13" s="1"/>
  <c r="K216" i="4"/>
  <c r="K80" i="13"/>
  <c r="N68" i="15"/>
  <c r="N66" i="15" s="1"/>
  <c r="L601" i="1"/>
  <c r="J235" i="1"/>
  <c r="K176" i="2"/>
  <c r="K213" i="2"/>
  <c r="K219" i="2"/>
  <c r="P254" i="2"/>
  <c r="J349" i="1"/>
  <c r="I380" i="1"/>
  <c r="J580" i="1"/>
  <c r="I517" i="1"/>
  <c r="I529" i="1"/>
  <c r="I533" i="1"/>
  <c r="N587" i="1"/>
  <c r="N604" i="1"/>
  <c r="J500" i="1"/>
  <c r="K117" i="4"/>
  <c r="J241" i="1"/>
  <c r="L333" i="12"/>
  <c r="L331" i="12" s="1"/>
  <c r="K611" i="13"/>
  <c r="P254" i="14"/>
  <c r="J479" i="1"/>
  <c r="J503" i="1"/>
  <c r="J519" i="1"/>
  <c r="N273" i="21"/>
  <c r="N271" i="21" s="1"/>
  <c r="J92" i="1"/>
  <c r="J105" i="1"/>
  <c r="J171" i="1"/>
  <c r="I199" i="1"/>
  <c r="L57" i="3"/>
  <c r="L55" i="3" s="1"/>
  <c r="L70" i="3"/>
  <c r="O70" i="3" s="1"/>
  <c r="K577" i="5"/>
  <c r="K634" i="7"/>
  <c r="N273" i="14"/>
  <c r="N271" i="14" s="1"/>
  <c r="N120" i="21"/>
  <c r="N118" i="21" s="1"/>
  <c r="L354" i="1"/>
  <c r="K398" i="3"/>
  <c r="K419" i="3"/>
  <c r="K423" i="3"/>
  <c r="L45" i="7"/>
  <c r="O457" i="7"/>
  <c r="K431" i="10"/>
  <c r="K424" i="12"/>
  <c r="O584" i="12"/>
  <c r="K474" i="13"/>
  <c r="K482" i="13"/>
  <c r="K597" i="13"/>
  <c r="K426" i="14"/>
  <c r="K430" i="14"/>
  <c r="O455" i="14"/>
  <c r="O459" i="14"/>
  <c r="K497" i="14"/>
  <c r="I471" i="1"/>
  <c r="K471" i="1" s="1"/>
  <c r="J243" i="1"/>
  <c r="N294" i="1"/>
  <c r="J303" i="1"/>
  <c r="O380" i="2"/>
  <c r="K402" i="2"/>
  <c r="J509" i="1"/>
  <c r="J260" i="1"/>
  <c r="K266" i="3"/>
  <c r="K397" i="3"/>
  <c r="L314" i="7"/>
  <c r="L312" i="7" s="1"/>
  <c r="O312" i="7" s="1"/>
  <c r="I521" i="1"/>
  <c r="I525" i="1"/>
  <c r="J543" i="1"/>
  <c r="J619" i="1"/>
  <c r="K628" i="9"/>
  <c r="O457" i="17"/>
  <c r="K173" i="20"/>
  <c r="K635" i="7"/>
  <c r="L144" i="8"/>
  <c r="O380" i="12"/>
  <c r="K423" i="12"/>
  <c r="K328" i="14"/>
  <c r="L294" i="21"/>
  <c r="O294" i="21" s="1"/>
  <c r="L351" i="1"/>
  <c r="O351" i="1" s="1"/>
  <c r="I595" i="1"/>
  <c r="I108" i="1"/>
  <c r="I112" i="1"/>
  <c r="L123" i="1"/>
  <c r="I132" i="1"/>
  <c r="J184" i="1"/>
  <c r="N337" i="1"/>
  <c r="J399" i="1"/>
  <c r="I424" i="1"/>
  <c r="L457" i="1"/>
  <c r="K482" i="2"/>
  <c r="K285" i="5"/>
  <c r="J201" i="1"/>
  <c r="J218" i="1"/>
  <c r="J308" i="1"/>
  <c r="J497" i="1"/>
  <c r="J84" i="1"/>
  <c r="N254" i="1"/>
  <c r="J365" i="1"/>
  <c r="O49" i="10"/>
  <c r="O347" i="10"/>
  <c r="K189" i="11"/>
  <c r="K200" i="11"/>
  <c r="K426" i="11"/>
  <c r="L314" i="19"/>
  <c r="O314" i="19" s="1"/>
  <c r="N312" i="21"/>
  <c r="N310" i="21" s="1"/>
  <c r="J283" i="1"/>
  <c r="I596" i="1"/>
  <c r="K596" i="1" s="1"/>
  <c r="K266" i="2"/>
  <c r="K349" i="21"/>
  <c r="I512" i="1"/>
  <c r="K512" i="1" s="1"/>
  <c r="J523" i="1"/>
  <c r="J527" i="1"/>
  <c r="O380" i="6"/>
  <c r="K328" i="7"/>
  <c r="K341" i="7"/>
  <c r="K229" i="11"/>
  <c r="K164" i="18"/>
  <c r="O437" i="19"/>
  <c r="I632" i="1"/>
  <c r="J133" i="1"/>
  <c r="J300" i="1"/>
  <c r="I328" i="1"/>
  <c r="K450" i="2"/>
  <c r="N68" i="8"/>
  <c r="N66" i="8" s="1"/>
  <c r="M96" i="8"/>
  <c r="P96" i="8" s="1"/>
  <c r="K204" i="8"/>
  <c r="L294" i="8"/>
  <c r="O294" i="8" s="1"/>
  <c r="L70" i="9"/>
  <c r="O70" i="9" s="1"/>
  <c r="M68" i="10"/>
  <c r="P68" i="10" s="1"/>
  <c r="M252" i="11"/>
  <c r="P252" i="11" s="1"/>
  <c r="K204" i="13"/>
  <c r="K482" i="14"/>
  <c r="O537" i="14"/>
  <c r="K628" i="15"/>
  <c r="J362" i="1"/>
  <c r="I396" i="1"/>
  <c r="K328" i="4"/>
  <c r="P333" i="4"/>
  <c r="K620" i="7"/>
  <c r="K370" i="8"/>
  <c r="K619" i="8"/>
  <c r="K425" i="9"/>
  <c r="K219" i="11"/>
  <c r="K499" i="11"/>
  <c r="O383" i="15"/>
  <c r="O401" i="15"/>
  <c r="K430" i="15"/>
  <c r="K481" i="15"/>
  <c r="O582" i="15"/>
  <c r="O102" i="16"/>
  <c r="K109" i="16"/>
  <c r="K113" i="16"/>
  <c r="K65" i="21"/>
  <c r="O406" i="21"/>
  <c r="K423" i="21"/>
  <c r="L49" i="1"/>
  <c r="I477" i="1"/>
  <c r="K477" i="1" s="1"/>
  <c r="I508" i="1"/>
  <c r="K508" i="1" s="1"/>
  <c r="L59" i="1"/>
  <c r="L124" i="1"/>
  <c r="I164" i="1"/>
  <c r="K597" i="5"/>
  <c r="J510" i="1"/>
  <c r="J514" i="1"/>
  <c r="K369" i="9"/>
  <c r="I367" i="9"/>
  <c r="K367" i="9" s="1"/>
  <c r="K380" i="11"/>
  <c r="J262" i="1"/>
  <c r="N462" i="1"/>
  <c r="M120" i="14"/>
  <c r="P120" i="14" s="1"/>
  <c r="P122" i="14"/>
  <c r="J238" i="1"/>
  <c r="I485" i="1"/>
  <c r="K485" i="1" s="1"/>
  <c r="I267" i="1"/>
  <c r="I493" i="1"/>
  <c r="K493" i="1" s="1"/>
  <c r="I429" i="1"/>
  <c r="I628" i="1"/>
  <c r="J528" i="1"/>
  <c r="N541" i="1"/>
  <c r="N552" i="1"/>
  <c r="J573" i="1"/>
  <c r="N586" i="1"/>
  <c r="N598" i="1"/>
  <c r="N603" i="1"/>
  <c r="J611" i="1"/>
  <c r="J615" i="1"/>
  <c r="J628" i="1"/>
  <c r="M70" i="1"/>
  <c r="K138" i="5"/>
  <c r="J173" i="1"/>
  <c r="I304" i="1"/>
  <c r="K488" i="2"/>
  <c r="I488" i="1"/>
  <c r="K488" i="1" s="1"/>
  <c r="L455" i="1"/>
  <c r="I496" i="1"/>
  <c r="K496" i="1" s="1"/>
  <c r="K509" i="2"/>
  <c r="I509" i="1"/>
  <c r="K509" i="1" s="1"/>
  <c r="K533" i="2"/>
  <c r="J549" i="1"/>
  <c r="K629" i="2"/>
  <c r="K633" i="2"/>
  <c r="P70" i="3"/>
  <c r="J265" i="1"/>
  <c r="J270" i="1"/>
  <c r="J284" i="1"/>
  <c r="I340" i="1"/>
  <c r="N357" i="1"/>
  <c r="J370" i="1"/>
  <c r="J421" i="1"/>
  <c r="K369" i="7"/>
  <c r="I367" i="7"/>
  <c r="K367" i="7" s="1"/>
  <c r="J261" i="1"/>
  <c r="J481" i="1"/>
  <c r="J505" i="1"/>
  <c r="J210" i="1"/>
  <c r="I469" i="1"/>
  <c r="K469" i="1" s="1"/>
  <c r="O599" i="6"/>
  <c r="J517" i="1"/>
  <c r="J521" i="1"/>
  <c r="J525" i="1"/>
  <c r="J529" i="1"/>
  <c r="J533" i="1"/>
  <c r="N536" i="1"/>
  <c r="J544" i="1"/>
  <c r="N564" i="1"/>
  <c r="K633" i="10"/>
  <c r="J360" i="1"/>
  <c r="J367" i="1"/>
  <c r="J375" i="1"/>
  <c r="N383" i="1"/>
  <c r="J418" i="1"/>
  <c r="J426" i="1"/>
  <c r="J430" i="1"/>
  <c r="N455" i="1"/>
  <c r="J465" i="1"/>
  <c r="J473" i="1"/>
  <c r="J477" i="1"/>
  <c r="J485" i="1"/>
  <c r="K633" i="4"/>
  <c r="K112" i="5"/>
  <c r="I381" i="1"/>
  <c r="J453" i="1"/>
  <c r="J625" i="1"/>
  <c r="J634" i="1"/>
  <c r="J607" i="1"/>
  <c r="J246" i="1"/>
  <c r="L33" i="15"/>
  <c r="O33" i="15" s="1"/>
  <c r="K498" i="17"/>
  <c r="J217" i="1"/>
  <c r="I238" i="1"/>
  <c r="K238" i="1" s="1"/>
  <c r="J245" i="1"/>
  <c r="L347" i="1"/>
  <c r="J377" i="1"/>
  <c r="J381" i="1"/>
  <c r="N408" i="1"/>
  <c r="J416" i="1"/>
  <c r="J432" i="1"/>
  <c r="J449" i="1"/>
  <c r="N463" i="1"/>
  <c r="J475" i="1"/>
  <c r="I491" i="1"/>
  <c r="K491" i="1" s="1"/>
  <c r="J546" i="1"/>
  <c r="N554" i="1"/>
  <c r="N570" i="1"/>
  <c r="J593" i="1"/>
  <c r="J341" i="1"/>
  <c r="J345" i="1"/>
  <c r="N353" i="1"/>
  <c r="K589" i="4"/>
  <c r="K630" i="4"/>
  <c r="N55" i="8"/>
  <c r="N53" i="8" s="1"/>
  <c r="M312" i="8"/>
  <c r="P312" i="8" s="1"/>
  <c r="K632" i="8"/>
  <c r="K417" i="10"/>
  <c r="K630" i="10"/>
  <c r="N292" i="12"/>
  <c r="N290" i="12" s="1"/>
  <c r="N55" i="13"/>
  <c r="N53" i="13" s="1"/>
  <c r="L224" i="13"/>
  <c r="L222" i="13" s="1"/>
  <c r="N96" i="14"/>
  <c r="N94" i="14" s="1"/>
  <c r="L333" i="14"/>
  <c r="O333" i="14" s="1"/>
  <c r="O349" i="15"/>
  <c r="N292" i="16"/>
  <c r="N290" i="16" s="1"/>
  <c r="O435" i="17"/>
  <c r="K474" i="17"/>
  <c r="K633" i="20"/>
  <c r="K158" i="21"/>
  <c r="O455" i="21"/>
  <c r="K149" i="22"/>
  <c r="O601" i="2"/>
  <c r="L224" i="3"/>
  <c r="L222" i="3" s="1"/>
  <c r="L315" i="1"/>
  <c r="K341" i="5"/>
  <c r="J130" i="1"/>
  <c r="I138" i="1"/>
  <c r="J155" i="1"/>
  <c r="J209" i="1"/>
  <c r="K349" i="6"/>
  <c r="O404" i="6"/>
  <c r="K425" i="6"/>
  <c r="O437" i="6"/>
  <c r="K450" i="6"/>
  <c r="K564" i="6"/>
  <c r="O564" i="7"/>
  <c r="O568" i="7"/>
  <c r="K164" i="8"/>
  <c r="N331" i="8"/>
  <c r="N329" i="8" s="1"/>
  <c r="K435" i="8"/>
  <c r="N68" i="9"/>
  <c r="N66" i="9" s="1"/>
  <c r="N120" i="9"/>
  <c r="N118" i="9" s="1"/>
  <c r="I374" i="1"/>
  <c r="O601" i="10"/>
  <c r="K635" i="10"/>
  <c r="J531" i="1"/>
  <c r="N555" i="1"/>
  <c r="N584" i="1"/>
  <c r="N68" i="14"/>
  <c r="N66" i="14" s="1"/>
  <c r="N252" i="16"/>
  <c r="N250" i="16" s="1"/>
  <c r="N292" i="17"/>
  <c r="N290" i="17" s="1"/>
  <c r="N68" i="20"/>
  <c r="N66" i="20" s="1"/>
  <c r="K164" i="20"/>
  <c r="N312" i="20"/>
  <c r="N310" i="20" s="1"/>
  <c r="K133" i="21"/>
  <c r="K617" i="21"/>
  <c r="N538" i="1"/>
  <c r="J609" i="1"/>
  <c r="I622" i="1"/>
  <c r="I631" i="1"/>
  <c r="I270" i="1"/>
  <c r="L296" i="1"/>
  <c r="J304" i="1"/>
  <c r="N70" i="1"/>
  <c r="J87" i="1"/>
  <c r="J624" i="1"/>
  <c r="I425" i="1"/>
  <c r="N442" i="1"/>
  <c r="I450" i="1"/>
  <c r="N252" i="14"/>
  <c r="N250" i="14" s="1"/>
  <c r="M96" i="15"/>
  <c r="P96" i="15" s="1"/>
  <c r="N222" i="17"/>
  <c r="N220" i="17" s="1"/>
  <c r="N252" i="19"/>
  <c r="N250" i="19" s="1"/>
  <c r="K616" i="19"/>
  <c r="I64" i="1"/>
  <c r="J104" i="1"/>
  <c r="K110" i="2"/>
  <c r="J114" i="1"/>
  <c r="K375" i="2"/>
  <c r="L383" i="1"/>
  <c r="O401" i="2"/>
  <c r="K418" i="2"/>
  <c r="K422" i="2"/>
  <c r="K426" i="2"/>
  <c r="K430" i="2"/>
  <c r="K465" i="2"/>
  <c r="J487" i="1"/>
  <c r="J495" i="1"/>
  <c r="K110" i="5"/>
  <c r="J612" i="1"/>
  <c r="J620" i="1"/>
  <c r="K341" i="6"/>
  <c r="K345" i="6"/>
  <c r="K465" i="6"/>
  <c r="N120" i="7"/>
  <c r="N118" i="7" s="1"/>
  <c r="J323" i="1"/>
  <c r="J346" i="1"/>
  <c r="J350" i="1"/>
  <c r="J372" i="1"/>
  <c r="N384" i="1"/>
  <c r="J415" i="1"/>
  <c r="J419" i="1"/>
  <c r="N435" i="1"/>
  <c r="J448" i="1"/>
  <c r="J470" i="1"/>
  <c r="J486" i="1"/>
  <c r="J502" i="1"/>
  <c r="O533" i="7"/>
  <c r="J158" i="1"/>
  <c r="I213" i="1"/>
  <c r="N273" i="8"/>
  <c r="N271" i="8" s="1"/>
  <c r="J361" i="1"/>
  <c r="O380" i="8"/>
  <c r="K398" i="8"/>
  <c r="I402" i="1"/>
  <c r="K423" i="8"/>
  <c r="K431" i="8"/>
  <c r="L435" i="1"/>
  <c r="K630" i="8"/>
  <c r="K200" i="10"/>
  <c r="O535" i="10"/>
  <c r="K611" i="10"/>
  <c r="J326" i="1"/>
  <c r="P45" i="12"/>
  <c r="K219" i="12"/>
  <c r="O533" i="12"/>
  <c r="K589" i="12"/>
  <c r="K381" i="14"/>
  <c r="O385" i="14"/>
  <c r="K416" i="14"/>
  <c r="K424" i="14"/>
  <c r="K340" i="17"/>
  <c r="O352" i="17"/>
  <c r="K396" i="17"/>
  <c r="K401" i="17"/>
  <c r="O404" i="17"/>
  <c r="K425" i="17"/>
  <c r="O437" i="17"/>
  <c r="K450" i="17"/>
  <c r="K199" i="18"/>
  <c r="K204" i="18"/>
  <c r="K215" i="18"/>
  <c r="K634" i="18"/>
  <c r="K426" i="19"/>
  <c r="K497" i="19"/>
  <c r="K635" i="20"/>
  <c r="O568" i="11"/>
  <c r="O599" i="11"/>
  <c r="L254" i="14"/>
  <c r="O254" i="14" s="1"/>
  <c r="L45" i="15"/>
  <c r="O45" i="15" s="1"/>
  <c r="O533" i="16"/>
  <c r="O537" i="16"/>
  <c r="L254" i="17"/>
  <c r="O254" i="17" s="1"/>
  <c r="K264" i="17"/>
  <c r="O597" i="18"/>
  <c r="O601" i="18"/>
  <c r="K631" i="18"/>
  <c r="O568" i="19"/>
  <c r="O582" i="19"/>
  <c r="O599" i="19"/>
  <c r="K633" i="19"/>
  <c r="K429" i="20"/>
  <c r="O437" i="20"/>
  <c r="K450" i="20"/>
  <c r="O535" i="20"/>
  <c r="K381" i="21"/>
  <c r="K449" i="21"/>
  <c r="L144" i="22"/>
  <c r="O144" i="22" s="1"/>
  <c r="L380" i="1"/>
  <c r="L458" i="1"/>
  <c r="O458" i="1" s="1"/>
  <c r="I472" i="1"/>
  <c r="K472" i="1" s="1"/>
  <c r="I482" i="1"/>
  <c r="I495" i="1"/>
  <c r="K495" i="1" s="1"/>
  <c r="I505" i="1"/>
  <c r="K505" i="1" s="1"/>
  <c r="I514" i="1"/>
  <c r="K514" i="1" s="1"/>
  <c r="I634" i="1"/>
  <c r="L126" i="1"/>
  <c r="O126" i="1" s="1"/>
  <c r="I133" i="1"/>
  <c r="I158" i="1"/>
  <c r="J164" i="1"/>
  <c r="J175" i="1"/>
  <c r="K621" i="2"/>
  <c r="P57" i="5"/>
  <c r="L98" i="5"/>
  <c r="L96" i="5" s="1"/>
  <c r="K108" i="5"/>
  <c r="K396" i="5"/>
  <c r="K620" i="5"/>
  <c r="K84" i="6"/>
  <c r="N96" i="6"/>
  <c r="N94" i="6" s="1"/>
  <c r="L275" i="6"/>
  <c r="O275" i="6" s="1"/>
  <c r="K499" i="7"/>
  <c r="O337" i="8"/>
  <c r="K216" i="9"/>
  <c r="K416" i="9"/>
  <c r="K449" i="10"/>
  <c r="K595" i="12"/>
  <c r="N312" i="13"/>
  <c r="N310" i="13" s="1"/>
  <c r="K219" i="15"/>
  <c r="K81" i="17"/>
  <c r="K564" i="17"/>
  <c r="K343" i="19"/>
  <c r="K328" i="21"/>
  <c r="O568" i="22"/>
  <c r="J81" i="1"/>
  <c r="J85" i="1"/>
  <c r="J113" i="1"/>
  <c r="N148" i="1"/>
  <c r="J169" i="1"/>
  <c r="I186" i="1"/>
  <c r="J196" i="1"/>
  <c r="J202" i="1"/>
  <c r="J286" i="1"/>
  <c r="J320" i="1"/>
  <c r="N572" i="1"/>
  <c r="K176" i="3"/>
  <c r="I547" i="1"/>
  <c r="L566" i="1"/>
  <c r="J608" i="1"/>
  <c r="J617" i="1"/>
  <c r="K597" i="8"/>
  <c r="L224" i="10"/>
  <c r="O224" i="10" s="1"/>
  <c r="P122" i="11"/>
  <c r="L333" i="11"/>
  <c r="L331" i="11" s="1"/>
  <c r="L329" i="11" s="1"/>
  <c r="K432" i="14"/>
  <c r="K597" i="15"/>
  <c r="K630" i="15"/>
  <c r="K219" i="16"/>
  <c r="L275" i="16"/>
  <c r="L273" i="16" s="1"/>
  <c r="K420" i="18"/>
  <c r="K431" i="18"/>
  <c r="L254" i="20"/>
  <c r="L252" i="20" s="1"/>
  <c r="K426" i="22"/>
  <c r="I474" i="1"/>
  <c r="I506" i="1"/>
  <c r="K506" i="1" s="1"/>
  <c r="J186" i="1"/>
  <c r="J197" i="1"/>
  <c r="N279" i="1"/>
  <c r="J287" i="1"/>
  <c r="N32" i="2"/>
  <c r="N30" i="2" s="1"/>
  <c r="K213" i="3"/>
  <c r="K497" i="3"/>
  <c r="K430" i="5"/>
  <c r="K201" i="6"/>
  <c r="K564" i="9"/>
  <c r="N120" i="10"/>
  <c r="N118" i="10" s="1"/>
  <c r="L254" i="15"/>
  <c r="L252" i="15" s="1"/>
  <c r="L250" i="15" s="1"/>
  <c r="K264" i="15"/>
  <c r="K547" i="18"/>
  <c r="P294" i="21"/>
  <c r="I111" i="1"/>
  <c r="I117" i="1"/>
  <c r="J138" i="1"/>
  <c r="J110" i="1"/>
  <c r="J242" i="1"/>
  <c r="M312" i="4"/>
  <c r="P312" i="4" s="1"/>
  <c r="K377" i="4"/>
  <c r="K593" i="4"/>
  <c r="N222" i="7"/>
  <c r="N220" i="7" s="1"/>
  <c r="K235" i="7"/>
  <c r="N273" i="7"/>
  <c r="N271" i="7" s="1"/>
  <c r="N43" i="8"/>
  <c r="N41" i="8" s="1"/>
  <c r="K564" i="8"/>
  <c r="K474" i="11"/>
  <c r="K249" i="12"/>
  <c r="K630" i="12"/>
  <c r="K634" i="12"/>
  <c r="K138" i="13"/>
  <c r="K631" i="15"/>
  <c r="K635" i="15"/>
  <c r="N43" i="16"/>
  <c r="N41" i="16" s="1"/>
  <c r="K398" i="17"/>
  <c r="K83" i="18"/>
  <c r="K499" i="18"/>
  <c r="K229" i="20"/>
  <c r="L333" i="20"/>
  <c r="L331" i="20" s="1"/>
  <c r="O564" i="20"/>
  <c r="K628" i="20"/>
  <c r="L314" i="21"/>
  <c r="L312" i="21" s="1"/>
  <c r="O312" i="21" s="1"/>
  <c r="N33" i="21"/>
  <c r="N13" i="21" s="1"/>
  <c r="O564" i="21"/>
  <c r="K629" i="21"/>
  <c r="K633" i="21"/>
  <c r="N331" i="22"/>
  <c r="N329" i="22" s="1"/>
  <c r="L61" i="1"/>
  <c r="O61" i="1" s="1"/>
  <c r="I65" i="1"/>
  <c r="L318" i="1"/>
  <c r="O318" i="1" s="1"/>
  <c r="I466" i="1"/>
  <c r="I498" i="1"/>
  <c r="M144" i="1"/>
  <c r="J154" i="1"/>
  <c r="J182" i="1"/>
  <c r="J269" i="1"/>
  <c r="J391" i="1"/>
  <c r="L439" i="1"/>
  <c r="J447" i="1"/>
  <c r="J489" i="1"/>
  <c r="K425" i="8"/>
  <c r="K573" i="9"/>
  <c r="K343" i="12"/>
  <c r="K466" i="12"/>
  <c r="K482" i="12"/>
  <c r="M271" i="20"/>
  <c r="P271" i="20" s="1"/>
  <c r="O533" i="20"/>
  <c r="I377" i="1"/>
  <c r="N98" i="1"/>
  <c r="J107" i="1"/>
  <c r="J111" i="1"/>
  <c r="J117" i="1"/>
  <c r="K87" i="3"/>
  <c r="K235" i="3"/>
  <c r="L224" i="4"/>
  <c r="L222" i="4" s="1"/>
  <c r="L220" i="4" s="1"/>
  <c r="L254" i="4"/>
  <c r="O254" i="4" s="1"/>
  <c r="K466" i="5"/>
  <c r="K498" i="5"/>
  <c r="K533" i="5"/>
  <c r="O568" i="5"/>
  <c r="K628" i="5"/>
  <c r="N292" i="6"/>
  <c r="N290" i="6" s="1"/>
  <c r="L122" i="7"/>
  <c r="L120" i="7" s="1"/>
  <c r="O120" i="7" s="1"/>
  <c r="K418" i="7"/>
  <c r="K229" i="10"/>
  <c r="M252" i="13"/>
  <c r="P252" i="13" s="1"/>
  <c r="K615" i="13"/>
  <c r="P70" i="14"/>
  <c r="K93" i="16"/>
  <c r="K111" i="16"/>
  <c r="N142" i="19"/>
  <c r="N140" i="19" s="1"/>
  <c r="K595" i="19"/>
  <c r="L57" i="20"/>
  <c r="L55" i="20" s="1"/>
  <c r="L53" i="20" s="1"/>
  <c r="P45" i="21"/>
  <c r="O347" i="21"/>
  <c r="I83" i="1"/>
  <c r="L298" i="1"/>
  <c r="I480" i="1"/>
  <c r="K480" i="1" s="1"/>
  <c r="I490" i="1"/>
  <c r="K490" i="1" s="1"/>
  <c r="I580" i="1"/>
  <c r="L71" i="1"/>
  <c r="J237" i="1"/>
  <c r="J244" i="1"/>
  <c r="O537" i="2"/>
  <c r="K401" i="3"/>
  <c r="K417" i="3"/>
  <c r="K425" i="3"/>
  <c r="K429" i="3"/>
  <c r="P275" i="4"/>
  <c r="O401" i="4"/>
  <c r="K381" i="5"/>
  <c r="K416" i="5"/>
  <c r="K634" i="6"/>
  <c r="K176" i="7"/>
  <c r="K186" i="7"/>
  <c r="O380" i="7"/>
  <c r="O599" i="7"/>
  <c r="K633" i="8"/>
  <c r="K199" i="9"/>
  <c r="K204" i="9"/>
  <c r="O385" i="10"/>
  <c r="K428" i="10"/>
  <c r="K533" i="10"/>
  <c r="K199" i="11"/>
  <c r="N252" i="11"/>
  <c r="N250" i="11" s="1"/>
  <c r="K547" i="11"/>
  <c r="K213" i="13"/>
  <c r="K633" i="13"/>
  <c r="K427" i="14"/>
  <c r="K498" i="14"/>
  <c r="K429" i="15"/>
  <c r="K380" i="16"/>
  <c r="K397" i="16"/>
  <c r="K422" i="16"/>
  <c r="K430" i="16"/>
  <c r="O459" i="16"/>
  <c r="O601" i="17"/>
  <c r="K635" i="17"/>
  <c r="K341" i="18"/>
  <c r="K497" i="18"/>
  <c r="O337" i="19"/>
  <c r="K428" i="20"/>
  <c r="K547" i="20"/>
  <c r="K597" i="20"/>
  <c r="N55" i="21"/>
  <c r="N53" i="21" s="1"/>
  <c r="K425" i="21"/>
  <c r="O566" i="21"/>
  <c r="O584" i="21"/>
  <c r="P45" i="19"/>
  <c r="M43" i="19"/>
  <c r="M41" i="19" s="1"/>
  <c r="I594" i="1"/>
  <c r="K594" i="1" s="1"/>
  <c r="M43" i="2"/>
  <c r="M41" i="2" s="1"/>
  <c r="J212" i="1"/>
  <c r="P45" i="20"/>
  <c r="M43" i="20"/>
  <c r="M41" i="20" s="1"/>
  <c r="J128" i="1"/>
  <c r="J170" i="1"/>
  <c r="J176" i="1"/>
  <c r="L226" i="1"/>
  <c r="K328" i="2"/>
  <c r="N33" i="9"/>
  <c r="N13" i="9" s="1"/>
  <c r="M273" i="13"/>
  <c r="P273" i="13" s="1"/>
  <c r="P275" i="13"/>
  <c r="L555" i="1"/>
  <c r="L584" i="1"/>
  <c r="J149" i="1"/>
  <c r="J181" i="1"/>
  <c r="K204" i="2"/>
  <c r="K235" i="2"/>
  <c r="L254" i="2"/>
  <c r="L252" i="2" s="1"/>
  <c r="K264" i="2"/>
  <c r="K289" i="2"/>
  <c r="I368" i="1"/>
  <c r="N122" i="1"/>
  <c r="J131" i="1"/>
  <c r="K138" i="2"/>
  <c r="N144" i="1"/>
  <c r="I173" i="1"/>
  <c r="J183" i="1"/>
  <c r="K189" i="2"/>
  <c r="L57" i="2"/>
  <c r="O57" i="2" s="1"/>
  <c r="L122" i="2"/>
  <c r="L120" i="2" s="1"/>
  <c r="L118" i="2" s="1"/>
  <c r="L144" i="2"/>
  <c r="L142" i="2" s="1"/>
  <c r="J163" i="1"/>
  <c r="N275" i="1"/>
  <c r="M275" i="1"/>
  <c r="L295" i="1"/>
  <c r="K304" i="2"/>
  <c r="I346" i="1"/>
  <c r="K346" i="1" s="1"/>
  <c r="I486" i="1"/>
  <c r="K486" i="1" s="1"/>
  <c r="K498" i="2"/>
  <c r="I510" i="1"/>
  <c r="K510" i="1" s="1"/>
  <c r="N553" i="1"/>
  <c r="N568" i="1"/>
  <c r="J575" i="1"/>
  <c r="I592" i="1"/>
  <c r="K592" i="1" s="1"/>
  <c r="L599" i="1"/>
  <c r="K466" i="4"/>
  <c r="O568" i="4"/>
  <c r="K423" i="5"/>
  <c r="P122" i="6"/>
  <c r="K138" i="6"/>
  <c r="K597" i="6"/>
  <c r="K219" i="7"/>
  <c r="O601" i="7"/>
  <c r="K235" i="9"/>
  <c r="P45" i="10"/>
  <c r="K450" i="11"/>
  <c r="O457" i="11"/>
  <c r="K631" i="11"/>
  <c r="K200" i="12"/>
  <c r="K377" i="12"/>
  <c r="K381" i="12"/>
  <c r="N31" i="12"/>
  <c r="N29" i="12" s="1"/>
  <c r="N55" i="15"/>
  <c r="N53" i="15" s="1"/>
  <c r="N32" i="15"/>
  <c r="N30" i="15" s="1"/>
  <c r="K173" i="16"/>
  <c r="K199" i="17"/>
  <c r="P314" i="17"/>
  <c r="O406" i="17"/>
  <c r="K533" i="17"/>
  <c r="K368" i="19"/>
  <c r="K430" i="19"/>
  <c r="K630" i="19"/>
  <c r="L224" i="20"/>
  <c r="L222" i="20" s="1"/>
  <c r="L294" i="20"/>
  <c r="O294" i="20" s="1"/>
  <c r="O459" i="21"/>
  <c r="K564" i="21"/>
  <c r="O601" i="21"/>
  <c r="N222" i="22"/>
  <c r="N220" i="22" s="1"/>
  <c r="J363" i="1"/>
  <c r="I420" i="1"/>
  <c r="J494" i="1"/>
  <c r="I518" i="1"/>
  <c r="I522" i="1"/>
  <c r="I526" i="1"/>
  <c r="I530" i="1"/>
  <c r="J545" i="1"/>
  <c r="J596" i="1"/>
  <c r="J616" i="1"/>
  <c r="P224" i="3"/>
  <c r="K267" i="3"/>
  <c r="K380" i="3"/>
  <c r="K634" i="3"/>
  <c r="K85" i="6"/>
  <c r="K164" i="6"/>
  <c r="O406" i="8"/>
  <c r="K419" i="8"/>
  <c r="K82" i="17"/>
  <c r="K396" i="18"/>
  <c r="O566" i="18"/>
  <c r="K597" i="18"/>
  <c r="P57" i="19"/>
  <c r="L70" i="19"/>
  <c r="O70" i="19" s="1"/>
  <c r="K466" i="19"/>
  <c r="K199" i="21"/>
  <c r="J369" i="1"/>
  <c r="J400" i="1"/>
  <c r="N403" i="1"/>
  <c r="N436" i="1"/>
  <c r="N457" i="1"/>
  <c r="J467" i="1"/>
  <c r="N533" i="1"/>
  <c r="K560" i="2"/>
  <c r="I593" i="1"/>
  <c r="I597" i="1"/>
  <c r="I613" i="1"/>
  <c r="I617" i="1"/>
  <c r="L335" i="1"/>
  <c r="J108" i="1"/>
  <c r="O437" i="4"/>
  <c r="N582" i="1"/>
  <c r="J592" i="1"/>
  <c r="J548" i="1"/>
  <c r="L352" i="1"/>
  <c r="N580" i="1"/>
  <c r="N601" i="1"/>
  <c r="J614" i="1"/>
  <c r="K422" i="7"/>
  <c r="K435" i="7"/>
  <c r="K401" i="16"/>
  <c r="O580" i="19"/>
  <c r="K189" i="20"/>
  <c r="K200" i="20"/>
  <c r="K64" i="21"/>
  <c r="K267" i="21"/>
  <c r="O533" i="21"/>
  <c r="N312" i="22"/>
  <c r="N310" i="22" s="1"/>
  <c r="J232" i="1"/>
  <c r="O298" i="2"/>
  <c r="J339" i="1"/>
  <c r="N347" i="1"/>
  <c r="J378" i="1"/>
  <c r="L382" i="1"/>
  <c r="O382" i="1" s="1"/>
  <c r="K396" i="2"/>
  <c r="O437" i="2"/>
  <c r="I455" i="1"/>
  <c r="J511" i="1"/>
  <c r="I561" i="1"/>
  <c r="K561" i="1" s="1"/>
  <c r="J597" i="1"/>
  <c r="K624" i="2"/>
  <c r="M118" i="3"/>
  <c r="P118" i="3" s="1"/>
  <c r="K173" i="3"/>
  <c r="K189" i="3"/>
  <c r="O383" i="3"/>
  <c r="N55" i="4"/>
  <c r="N53" i="4" s="1"/>
  <c r="K264" i="4"/>
  <c r="N120" i="5"/>
  <c r="P120" i="5" s="1"/>
  <c r="K189" i="5"/>
  <c r="K200" i="5"/>
  <c r="K474" i="5"/>
  <c r="N273" i="6"/>
  <c r="N271" i="6" s="1"/>
  <c r="O535" i="6"/>
  <c r="K420" i="8"/>
  <c r="O568" i="8"/>
  <c r="K628" i="8"/>
  <c r="K432" i="9"/>
  <c r="N252" i="10"/>
  <c r="N250" i="10" s="1"/>
  <c r="O354" i="10"/>
  <c r="K343" i="11"/>
  <c r="K92" i="12"/>
  <c r="M120" i="12"/>
  <c r="M118" i="12" s="1"/>
  <c r="P118" i="12" s="1"/>
  <c r="L275" i="13"/>
  <c r="L273" i="13" s="1"/>
  <c r="O273" i="13" s="1"/>
  <c r="K533" i="14"/>
  <c r="K173" i="15"/>
  <c r="K189" i="15"/>
  <c r="K200" i="15"/>
  <c r="K372" i="15"/>
  <c r="N68" i="16"/>
  <c r="N66" i="16" s="1"/>
  <c r="N273" i="18"/>
  <c r="N271" i="18" s="1"/>
  <c r="K267" i="19"/>
  <c r="N292" i="19"/>
  <c r="N290" i="19" s="1"/>
  <c r="K370" i="19"/>
  <c r="N273" i="20"/>
  <c r="N271" i="20" s="1"/>
  <c r="P70" i="21"/>
  <c r="K87" i="21"/>
  <c r="K173" i="21"/>
  <c r="K498" i="21"/>
  <c r="O533" i="22"/>
  <c r="K349" i="2"/>
  <c r="J417" i="1"/>
  <c r="J425" i="1"/>
  <c r="J429" i="1"/>
  <c r="J434" i="1"/>
  <c r="J468" i="1"/>
  <c r="J472" i="1"/>
  <c r="J515" i="1"/>
  <c r="N539" i="1"/>
  <c r="J547" i="1"/>
  <c r="N551" i="1"/>
  <c r="O535" i="3"/>
  <c r="N222" i="5"/>
  <c r="N220" i="5" s="1"/>
  <c r="K575" i="5"/>
  <c r="K381" i="7"/>
  <c r="O385" i="7"/>
  <c r="K423" i="7"/>
  <c r="L70" i="8"/>
  <c r="O70" i="8" s="1"/>
  <c r="M252" i="9"/>
  <c r="P252" i="9" s="1"/>
  <c r="O439" i="10"/>
  <c r="O533" i="10"/>
  <c r="O537" i="10"/>
  <c r="K465" i="12"/>
  <c r="K481" i="12"/>
  <c r="K631" i="13"/>
  <c r="K235" i="14"/>
  <c r="M68" i="16"/>
  <c r="M66" i="16" s="1"/>
  <c r="P66" i="16" s="1"/>
  <c r="K573" i="16"/>
  <c r="K429" i="21"/>
  <c r="L294" i="22"/>
  <c r="L292" i="22" s="1"/>
  <c r="I435" i="1"/>
  <c r="L459" i="1"/>
  <c r="J496" i="1"/>
  <c r="I516" i="1"/>
  <c r="I520" i="1"/>
  <c r="I524" i="1"/>
  <c r="I528" i="1"/>
  <c r="I532" i="1"/>
  <c r="O535" i="2"/>
  <c r="N540" i="1"/>
  <c r="L122" i="3"/>
  <c r="O122" i="3" s="1"/>
  <c r="K164" i="3"/>
  <c r="K270" i="3"/>
  <c r="P144" i="4"/>
  <c r="N273" i="4"/>
  <c r="N271" i="4" s="1"/>
  <c r="K345" i="4"/>
  <c r="O349" i="4"/>
  <c r="P45" i="5"/>
  <c r="K164" i="5"/>
  <c r="K199" i="6"/>
  <c r="L254" i="6"/>
  <c r="O254" i="6" s="1"/>
  <c r="O401" i="6"/>
  <c r="K435" i="6"/>
  <c r="K213" i="8"/>
  <c r="K421" i="8"/>
  <c r="O599" i="8"/>
  <c r="L98" i="9"/>
  <c r="O98" i="9" s="1"/>
  <c r="O533" i="9"/>
  <c r="K158" i="10"/>
  <c r="L254" i="10"/>
  <c r="O254" i="10" s="1"/>
  <c r="O385" i="11"/>
  <c r="O406" i="12"/>
  <c r="K427" i="13"/>
  <c r="O435" i="13"/>
  <c r="P45" i="14"/>
  <c r="N120" i="14"/>
  <c r="N118" i="14" s="1"/>
  <c r="O347" i="15"/>
  <c r="P57" i="17"/>
  <c r="K65" i="17"/>
  <c r="O564" i="18"/>
  <c r="K375" i="19"/>
  <c r="J302" i="1"/>
  <c r="I309" i="1"/>
  <c r="M314" i="1"/>
  <c r="N389" i="1"/>
  <c r="N401" i="1"/>
  <c r="J413" i="1"/>
  <c r="N459" i="1"/>
  <c r="L581" i="1"/>
  <c r="O581" i="1" s="1"/>
  <c r="N585" i="1"/>
  <c r="N602" i="1"/>
  <c r="I615" i="1"/>
  <c r="I619" i="1"/>
  <c r="K158" i="3"/>
  <c r="K229" i="3"/>
  <c r="N273" i="3"/>
  <c r="N271" i="3" s="1"/>
  <c r="P271" i="3" s="1"/>
  <c r="O347" i="3"/>
  <c r="K428" i="3"/>
  <c r="K533" i="3"/>
  <c r="K398" i="4"/>
  <c r="K419" i="4"/>
  <c r="K423" i="4"/>
  <c r="K427" i="4"/>
  <c r="K431" i="4"/>
  <c r="K573" i="4"/>
  <c r="N331" i="7"/>
  <c r="N329" i="7" s="1"/>
  <c r="K597" i="7"/>
  <c r="K629" i="7"/>
  <c r="K149" i="8"/>
  <c r="L224" i="8"/>
  <c r="L222" i="8" s="1"/>
  <c r="O222" i="8" s="1"/>
  <c r="O383" i="8"/>
  <c r="K429" i="8"/>
  <c r="O437" i="8"/>
  <c r="K450" i="8"/>
  <c r="O401" i="9"/>
  <c r="O404" i="9"/>
  <c r="K597" i="9"/>
  <c r="P49" i="10"/>
  <c r="P333" i="10"/>
  <c r="K349" i="10"/>
  <c r="K547" i="10"/>
  <c r="K401" i="11"/>
  <c r="K428" i="11"/>
  <c r="K432" i="11"/>
  <c r="K597" i="11"/>
  <c r="N96" i="12"/>
  <c r="N94" i="12" s="1"/>
  <c r="O564" i="12"/>
  <c r="K216" i="13"/>
  <c r="O564" i="13"/>
  <c r="O568" i="13"/>
  <c r="K628" i="13"/>
  <c r="K632" i="13"/>
  <c r="K450" i="15"/>
  <c r="K419" i="16"/>
  <c r="K423" i="16"/>
  <c r="K427" i="16"/>
  <c r="K431" i="16"/>
  <c r="L333" i="17"/>
  <c r="L331" i="17" s="1"/>
  <c r="K397" i="17"/>
  <c r="O401" i="17"/>
  <c r="K422" i="17"/>
  <c r="K426" i="17"/>
  <c r="K465" i="17"/>
  <c r="K92" i="19"/>
  <c r="K422" i="19"/>
  <c r="L98" i="21"/>
  <c r="L96" i="21" s="1"/>
  <c r="L122" i="21"/>
  <c r="O122" i="21" s="1"/>
  <c r="K132" i="21"/>
  <c r="K398" i="21"/>
  <c r="K402" i="21"/>
  <c r="K573" i="22"/>
  <c r="L70" i="2"/>
  <c r="O70" i="2" s="1"/>
  <c r="K149" i="2"/>
  <c r="N222" i="2"/>
  <c r="N220" i="2" s="1"/>
  <c r="I430" i="1"/>
  <c r="O49" i="2"/>
  <c r="N409" i="1"/>
  <c r="I367" i="6"/>
  <c r="K367" i="6" s="1"/>
  <c r="K369" i="6"/>
  <c r="M45" i="1"/>
  <c r="J83" i="1"/>
  <c r="K93" i="2"/>
  <c r="K111" i="2"/>
  <c r="J161" i="1"/>
  <c r="K199" i="2"/>
  <c r="K249" i="2"/>
  <c r="J187" i="1"/>
  <c r="K112" i="4"/>
  <c r="K573" i="5"/>
  <c r="I576" i="1"/>
  <c r="K576" i="1" s="1"/>
  <c r="K200" i="2"/>
  <c r="L333" i="2"/>
  <c r="L331" i="2" s="1"/>
  <c r="L329" i="2" s="1"/>
  <c r="K341" i="2"/>
  <c r="K345" i="2"/>
  <c r="L349" i="1"/>
  <c r="I614" i="1"/>
  <c r="I618" i="1"/>
  <c r="K328" i="6"/>
  <c r="I578" i="1"/>
  <c r="K578" i="1" s="1"/>
  <c r="K185" i="2"/>
  <c r="K265" i="2"/>
  <c r="N292" i="2"/>
  <c r="N290" i="2" s="1"/>
  <c r="K372" i="2"/>
  <c r="P294" i="6"/>
  <c r="M292" i="6"/>
  <c r="P292" i="6" s="1"/>
  <c r="L405" i="1"/>
  <c r="O405" i="1" s="1"/>
  <c r="K497" i="2"/>
  <c r="I80" i="1"/>
  <c r="I375" i="1"/>
  <c r="K375" i="1" s="1"/>
  <c r="I560" i="1"/>
  <c r="J564" i="1"/>
  <c r="N34" i="10"/>
  <c r="N14" i="10" s="1"/>
  <c r="K629" i="14"/>
  <c r="K633" i="14"/>
  <c r="L24" i="15"/>
  <c r="O24" i="15" s="1"/>
  <c r="K213" i="15"/>
  <c r="P224" i="15"/>
  <c r="L224" i="17"/>
  <c r="O224" i="17" s="1"/>
  <c r="O383" i="2"/>
  <c r="K397" i="2"/>
  <c r="N438" i="1"/>
  <c r="J445" i="1"/>
  <c r="I483" i="1"/>
  <c r="K483" i="1" s="1"/>
  <c r="J506" i="1"/>
  <c r="O564" i="2"/>
  <c r="J578" i="1"/>
  <c r="L145" i="1"/>
  <c r="K199" i="3"/>
  <c r="N349" i="1"/>
  <c r="L353" i="1"/>
  <c r="O353" i="1" s="1"/>
  <c r="O404" i="3"/>
  <c r="N437" i="1"/>
  <c r="N443" i="1"/>
  <c r="J450" i="1"/>
  <c r="N458" i="1"/>
  <c r="J490" i="1"/>
  <c r="J498" i="1"/>
  <c r="J591" i="1"/>
  <c r="J595" i="1"/>
  <c r="N597" i="1"/>
  <c r="O601" i="3"/>
  <c r="L47" i="1"/>
  <c r="L23" i="4"/>
  <c r="O23" i="4" s="1"/>
  <c r="L72" i="1"/>
  <c r="K267" i="4"/>
  <c r="O354" i="4"/>
  <c r="K381" i="4"/>
  <c r="K481" i="4"/>
  <c r="K158" i="5"/>
  <c r="N273" i="5"/>
  <c r="N271" i="5" s="1"/>
  <c r="P271" i="5" s="1"/>
  <c r="K634" i="5"/>
  <c r="K482" i="6"/>
  <c r="P254" i="8"/>
  <c r="O401" i="8"/>
  <c r="K547" i="8"/>
  <c r="K164" i="9"/>
  <c r="L314" i="16"/>
  <c r="O314" i="16" s="1"/>
  <c r="K564" i="16"/>
  <c r="J483" i="1"/>
  <c r="I507" i="1"/>
  <c r="K507" i="1" s="1"/>
  <c r="J622" i="1"/>
  <c r="I626" i="1"/>
  <c r="N96" i="3"/>
  <c r="N94" i="3" s="1"/>
  <c r="L276" i="1"/>
  <c r="N388" i="1"/>
  <c r="L401" i="1"/>
  <c r="I426" i="1"/>
  <c r="K430" i="3"/>
  <c r="K465" i="3"/>
  <c r="I484" i="1"/>
  <c r="K484" i="1" s="1"/>
  <c r="K499" i="3"/>
  <c r="O564" i="3"/>
  <c r="K617" i="3"/>
  <c r="K113" i="4"/>
  <c r="K149" i="4"/>
  <c r="K416" i="4"/>
  <c r="K420" i="4"/>
  <c r="K432" i="4"/>
  <c r="K474" i="4"/>
  <c r="N331" i="5"/>
  <c r="N329" i="5" s="1"/>
  <c r="O533" i="5"/>
  <c r="O564" i="5"/>
  <c r="O597" i="5"/>
  <c r="K65" i="6"/>
  <c r="N120" i="6"/>
  <c r="N118" i="6" s="1"/>
  <c r="K229" i="6"/>
  <c r="O385" i="6"/>
  <c r="K498" i="6"/>
  <c r="K611" i="6"/>
  <c r="K628" i="6"/>
  <c r="O404" i="7"/>
  <c r="L57" i="8"/>
  <c r="O57" i="8" s="1"/>
  <c r="P70" i="8"/>
  <c r="K138" i="8"/>
  <c r="K435" i="9"/>
  <c r="K629" i="9"/>
  <c r="K633" i="9"/>
  <c r="N292" i="10"/>
  <c r="N290" i="10" s="1"/>
  <c r="O352" i="10"/>
  <c r="K420" i="10"/>
  <c r="K573" i="10"/>
  <c r="O597" i="10"/>
  <c r="K425" i="11"/>
  <c r="K497" i="11"/>
  <c r="O535" i="11"/>
  <c r="K633" i="11"/>
  <c r="P314" i="12"/>
  <c r="M312" i="12"/>
  <c r="P312" i="12" s="1"/>
  <c r="K634" i="13"/>
  <c r="L224" i="14"/>
  <c r="L222" i="14" s="1"/>
  <c r="J342" i="1"/>
  <c r="O354" i="2"/>
  <c r="J392" i="1"/>
  <c r="J427" i="1"/>
  <c r="J431" i="1"/>
  <c r="O435" i="2"/>
  <c r="J499" i="1"/>
  <c r="L565" i="1"/>
  <c r="O565" i="1" s="1"/>
  <c r="J579" i="1"/>
  <c r="K204" i="3"/>
  <c r="N380" i="1"/>
  <c r="J422" i="1"/>
  <c r="J469" i="1"/>
  <c r="J476" i="1"/>
  <c r="J623" i="1"/>
  <c r="I204" i="1"/>
  <c r="J233" i="1"/>
  <c r="J268" i="1"/>
  <c r="J289" i="1"/>
  <c r="I370" i="1"/>
  <c r="J160" i="1"/>
  <c r="J266" i="1"/>
  <c r="I432" i="1"/>
  <c r="K432" i="1" s="1"/>
  <c r="K613" i="5"/>
  <c r="I266" i="1"/>
  <c r="J471" i="1"/>
  <c r="J632" i="1"/>
  <c r="N387" i="1"/>
  <c r="J396" i="1"/>
  <c r="J433" i="1"/>
  <c r="N120" i="8"/>
  <c r="N118" i="8" s="1"/>
  <c r="O347" i="8"/>
  <c r="K426" i="8"/>
  <c r="K533" i="8"/>
  <c r="K624" i="8"/>
  <c r="L294" i="10"/>
  <c r="L292" i="10" s="1"/>
  <c r="O292" i="10" s="1"/>
  <c r="L314" i="10"/>
  <c r="O314" i="10" s="1"/>
  <c r="O349" i="10"/>
  <c r="N120" i="11"/>
  <c r="N118" i="11" s="1"/>
  <c r="K343" i="2"/>
  <c r="K381" i="2"/>
  <c r="L403" i="1"/>
  <c r="O403" i="1" s="1"/>
  <c r="I416" i="1"/>
  <c r="K424" i="2"/>
  <c r="J484" i="1"/>
  <c r="O551" i="2"/>
  <c r="N45" i="1"/>
  <c r="K64" i="3"/>
  <c r="K200" i="3"/>
  <c r="I249" i="1"/>
  <c r="K547" i="3"/>
  <c r="I612" i="1"/>
  <c r="I616" i="1"/>
  <c r="J188" i="1"/>
  <c r="K199" i="4"/>
  <c r="N331" i="4"/>
  <c r="N329" i="4" s="1"/>
  <c r="K597" i="4"/>
  <c r="L70" i="5"/>
  <c r="O70" i="5" s="1"/>
  <c r="P144" i="5"/>
  <c r="L224" i="5"/>
  <c r="L222" i="5" s="1"/>
  <c r="O222" i="5" s="1"/>
  <c r="K368" i="5"/>
  <c r="L122" i="6"/>
  <c r="O122" i="6" s="1"/>
  <c r="K285" i="6"/>
  <c r="K370" i="6"/>
  <c r="K421" i="6"/>
  <c r="K455" i="6"/>
  <c r="K629" i="6"/>
  <c r="N292" i="7"/>
  <c r="N290" i="7" s="1"/>
  <c r="K380" i="7"/>
  <c r="O401" i="7"/>
  <c r="K621" i="8"/>
  <c r="K621" i="9"/>
  <c r="K630" i="9"/>
  <c r="K634" i="9"/>
  <c r="L70" i="10"/>
  <c r="O70" i="10" s="1"/>
  <c r="L144" i="10"/>
  <c r="L142" i="10" s="1"/>
  <c r="I367" i="10"/>
  <c r="K367" i="10" s="1"/>
  <c r="K396" i="10"/>
  <c r="K425" i="10"/>
  <c r="K235" i="11"/>
  <c r="L254" i="11"/>
  <c r="L252" i="11" s="1"/>
  <c r="O252" i="11" s="1"/>
  <c r="O347" i="11"/>
  <c r="K430" i="11"/>
  <c r="K464" i="11"/>
  <c r="K573" i="11"/>
  <c r="N55" i="12"/>
  <c r="N53" i="12" s="1"/>
  <c r="L254" i="12"/>
  <c r="L252" i="12" s="1"/>
  <c r="L250" i="12" s="1"/>
  <c r="K264" i="12"/>
  <c r="O597" i="13"/>
  <c r="M102" i="16"/>
  <c r="P102" i="16" s="1"/>
  <c r="N33" i="22"/>
  <c r="N13" i="22" s="1"/>
  <c r="K370" i="2"/>
  <c r="J373" i="1"/>
  <c r="J452" i="1"/>
  <c r="J466" i="1"/>
  <c r="K481" i="2"/>
  <c r="O555" i="2"/>
  <c r="O566" i="2"/>
  <c r="L45" i="3"/>
  <c r="L43" i="3" s="1"/>
  <c r="L41" i="3" s="1"/>
  <c r="J106" i="1"/>
  <c r="I149" i="1"/>
  <c r="K185" i="3"/>
  <c r="L254" i="3"/>
  <c r="L252" i="3" s="1"/>
  <c r="L250" i="3" s="1"/>
  <c r="K264" i="3"/>
  <c r="K340" i="3"/>
  <c r="N461" i="1"/>
  <c r="N571" i="1"/>
  <c r="J589" i="1"/>
  <c r="N605" i="1"/>
  <c r="J629" i="1"/>
  <c r="J77" i="1"/>
  <c r="K92" i="4"/>
  <c r="P98" i="4"/>
  <c r="K111" i="4"/>
  <c r="P122" i="4"/>
  <c r="K138" i="4"/>
  <c r="K235" i="4"/>
  <c r="K270" i="4"/>
  <c r="L333" i="4"/>
  <c r="L331" i="4" s="1"/>
  <c r="L329" i="4" s="1"/>
  <c r="K341" i="4"/>
  <c r="K498" i="4"/>
  <c r="K621" i="4"/>
  <c r="K93" i="5"/>
  <c r="K309" i="5"/>
  <c r="K350" i="5"/>
  <c r="O437" i="5"/>
  <c r="K482" i="5"/>
  <c r="P45" i="6"/>
  <c r="K158" i="6"/>
  <c r="K267" i="6"/>
  <c r="O354" i="6"/>
  <c r="K375" i="6"/>
  <c r="K418" i="6"/>
  <c r="K422" i="6"/>
  <c r="O459" i="6"/>
  <c r="K624" i="6"/>
  <c r="L70" i="7"/>
  <c r="O70" i="7" s="1"/>
  <c r="K189" i="7"/>
  <c r="K200" i="7"/>
  <c r="K426" i="7"/>
  <c r="K430" i="7"/>
  <c r="O459" i="7"/>
  <c r="O535" i="7"/>
  <c r="K630" i="7"/>
  <c r="K285" i="8"/>
  <c r="K349" i="8"/>
  <c r="K377" i="8"/>
  <c r="K451" i="8"/>
  <c r="L98" i="10"/>
  <c r="O98" i="10" s="1"/>
  <c r="K285" i="10"/>
  <c r="K350" i="10"/>
  <c r="K397" i="10"/>
  <c r="O401" i="10"/>
  <c r="K426" i="10"/>
  <c r="O437" i="10"/>
  <c r="L122" i="11"/>
  <c r="O122" i="11" s="1"/>
  <c r="O564" i="11"/>
  <c r="O597" i="11"/>
  <c r="O601" i="11"/>
  <c r="K635" i="11"/>
  <c r="O385" i="12"/>
  <c r="J129" i="1"/>
  <c r="J135" i="1"/>
  <c r="J216" i="1"/>
  <c r="I349" i="1"/>
  <c r="K349" i="1" s="1"/>
  <c r="L552" i="1"/>
  <c r="O552" i="1" s="1"/>
  <c r="N566" i="1"/>
  <c r="N96" i="9"/>
  <c r="N94" i="9" s="1"/>
  <c r="N252" i="9"/>
  <c r="N250" i="9" s="1"/>
  <c r="L224" i="16"/>
  <c r="O224" i="16" s="1"/>
  <c r="K597" i="16"/>
  <c r="N333" i="1"/>
  <c r="K340" i="2"/>
  <c r="J344" i="1"/>
  <c r="N358" i="1"/>
  <c r="J366" i="1"/>
  <c r="I475" i="1"/>
  <c r="K475" i="1" s="1"/>
  <c r="L567" i="1"/>
  <c r="O567" i="1" s="1"/>
  <c r="I573" i="1"/>
  <c r="K573" i="1" s="1"/>
  <c r="J594" i="1"/>
  <c r="L597" i="1"/>
  <c r="N600" i="1"/>
  <c r="K65" i="3"/>
  <c r="K138" i="3"/>
  <c r="J309" i="1"/>
  <c r="K309" i="1" s="1"/>
  <c r="N314" i="1"/>
  <c r="J322" i="1"/>
  <c r="K328" i="3"/>
  <c r="L334" i="1"/>
  <c r="I341" i="1"/>
  <c r="J379" i="1"/>
  <c r="K420" i="3"/>
  <c r="J424" i="1"/>
  <c r="J478" i="1"/>
  <c r="J501" i="1"/>
  <c r="J508" i="1"/>
  <c r="J621" i="1"/>
  <c r="L98" i="4"/>
  <c r="O98" i="4" s="1"/>
  <c r="K108" i="4"/>
  <c r="K201" i="4"/>
  <c r="K229" i="4"/>
  <c r="L314" i="4"/>
  <c r="O314" i="4" s="1"/>
  <c r="L337" i="1"/>
  <c r="K350" i="4"/>
  <c r="K372" i="4"/>
  <c r="K376" i="4"/>
  <c r="K426" i="4"/>
  <c r="J435" i="1"/>
  <c r="N559" i="1"/>
  <c r="K635" i="4"/>
  <c r="N74" i="1"/>
  <c r="J174" i="1"/>
  <c r="K201" i="5"/>
  <c r="L254" i="5"/>
  <c r="L252" i="5" s="1"/>
  <c r="O252" i="5" s="1"/>
  <c r="J264" i="1"/>
  <c r="O347" i="5"/>
  <c r="K398" i="5"/>
  <c r="K402" i="5"/>
  <c r="J516" i="1"/>
  <c r="J520" i="1"/>
  <c r="J524" i="1"/>
  <c r="J532" i="1"/>
  <c r="N535" i="1"/>
  <c r="K564" i="5"/>
  <c r="J633" i="1"/>
  <c r="L45" i="6"/>
  <c r="L43" i="6" s="1"/>
  <c r="L41" i="6" s="1"/>
  <c r="J203" i="1"/>
  <c r="J213" i="1"/>
  <c r="L224" i="6"/>
  <c r="O224" i="6" s="1"/>
  <c r="K249" i="6"/>
  <c r="K340" i="6"/>
  <c r="K372" i="6"/>
  <c r="K376" i="6"/>
  <c r="K398" i="6"/>
  <c r="J414" i="1"/>
  <c r="K419" i="6"/>
  <c r="K423" i="6"/>
  <c r="K427" i="6"/>
  <c r="K431" i="6"/>
  <c r="N460" i="1"/>
  <c r="K481" i="6"/>
  <c r="K164" i="7"/>
  <c r="K185" i="7"/>
  <c r="K340" i="7"/>
  <c r="K398" i="7"/>
  <c r="J402" i="1"/>
  <c r="O406" i="7"/>
  <c r="K427" i="7"/>
  <c r="K431" i="7"/>
  <c r="O439" i="7"/>
  <c r="N558" i="1"/>
  <c r="I401" i="1"/>
  <c r="O404" i="8"/>
  <c r="I623" i="1"/>
  <c r="J626" i="1"/>
  <c r="O347" i="9"/>
  <c r="K424" i="9"/>
  <c r="K631" i="9"/>
  <c r="K635" i="9"/>
  <c r="M292" i="10"/>
  <c r="P292" i="10" s="1"/>
  <c r="M312" i="10"/>
  <c r="P312" i="10" s="1"/>
  <c r="O406" i="10"/>
  <c r="K423" i="10"/>
  <c r="K597" i="10"/>
  <c r="L275" i="11"/>
  <c r="L273" i="11" s="1"/>
  <c r="O273" i="11" s="1"/>
  <c r="K345" i="11"/>
  <c r="K396" i="11"/>
  <c r="K427" i="11"/>
  <c r="O435" i="11"/>
  <c r="K616" i="11"/>
  <c r="K229" i="13"/>
  <c r="K416" i="13"/>
  <c r="K432" i="13"/>
  <c r="M252" i="20"/>
  <c r="P252" i="20" s="1"/>
  <c r="P254" i="20"/>
  <c r="L98" i="12"/>
  <c r="L96" i="12" s="1"/>
  <c r="L94" i="12" s="1"/>
  <c r="O94" i="12" s="1"/>
  <c r="K108" i="12"/>
  <c r="K138" i="12"/>
  <c r="K199" i="12"/>
  <c r="O347" i="12"/>
  <c r="O435" i="12"/>
  <c r="O599" i="12"/>
  <c r="P224" i="13"/>
  <c r="L314" i="13"/>
  <c r="O314" i="13" s="1"/>
  <c r="O347" i="13"/>
  <c r="K466" i="13"/>
  <c r="K481" i="13"/>
  <c r="K564" i="13"/>
  <c r="K573" i="13"/>
  <c r="O383" i="14"/>
  <c r="K397" i="14"/>
  <c r="O401" i="14"/>
  <c r="K418" i="14"/>
  <c r="K370" i="15"/>
  <c r="K396" i="15"/>
  <c r="K449" i="15"/>
  <c r="K547" i="15"/>
  <c r="L98" i="16"/>
  <c r="L96" i="16" s="1"/>
  <c r="L94" i="16" s="1"/>
  <c r="K108" i="16"/>
  <c r="K112" i="16"/>
  <c r="K416" i="16"/>
  <c r="K630" i="16"/>
  <c r="K634" i="16"/>
  <c r="O74" i="17"/>
  <c r="K219" i="17"/>
  <c r="O537" i="17"/>
  <c r="K158" i="18"/>
  <c r="K340" i="18"/>
  <c r="K428" i="18"/>
  <c r="K432" i="18"/>
  <c r="K113" i="19"/>
  <c r="K377" i="19"/>
  <c r="K398" i="19"/>
  <c r="O406" i="19"/>
  <c r="N33" i="19"/>
  <c r="N13" i="19" s="1"/>
  <c r="K635" i="19"/>
  <c r="O347" i="20"/>
  <c r="K427" i="20"/>
  <c r="K573" i="20"/>
  <c r="K265" i="21"/>
  <c r="L333" i="21"/>
  <c r="L331" i="21" s="1"/>
  <c r="K397" i="21"/>
  <c r="K421" i="21"/>
  <c r="K628" i="21"/>
  <c r="K368" i="22"/>
  <c r="K372" i="22"/>
  <c r="K402" i="22"/>
  <c r="O406" i="22"/>
  <c r="K611" i="22"/>
  <c r="K628" i="22"/>
  <c r="K464" i="17"/>
  <c r="K328" i="18"/>
  <c r="K465" i="19"/>
  <c r="L45" i="20"/>
  <c r="O45" i="20" s="1"/>
  <c r="K350" i="21"/>
  <c r="K109" i="12"/>
  <c r="K396" i="12"/>
  <c r="O404" i="12"/>
  <c r="K597" i="12"/>
  <c r="N142" i="13"/>
  <c r="N140" i="13" s="1"/>
  <c r="K173" i="13"/>
  <c r="K429" i="13"/>
  <c r="K498" i="13"/>
  <c r="K616" i="13"/>
  <c r="L294" i="14"/>
  <c r="O294" i="14" s="1"/>
  <c r="K402" i="14"/>
  <c r="K474" i="14"/>
  <c r="O566" i="14"/>
  <c r="K199" i="15"/>
  <c r="K204" i="15"/>
  <c r="K215" i="15"/>
  <c r="K616" i="15"/>
  <c r="K473" i="17"/>
  <c r="K629" i="17"/>
  <c r="K633" i="17"/>
  <c r="K64" i="18"/>
  <c r="N222" i="18"/>
  <c r="N220" i="18" s="1"/>
  <c r="K380" i="18"/>
  <c r="K397" i="18"/>
  <c r="O401" i="18"/>
  <c r="K110" i="19"/>
  <c r="K138" i="19"/>
  <c r="K199" i="19"/>
  <c r="O352" i="19"/>
  <c r="K481" i="19"/>
  <c r="N120" i="20"/>
  <c r="N118" i="20" s="1"/>
  <c r="N222" i="20"/>
  <c r="N220" i="20" s="1"/>
  <c r="N331" i="20"/>
  <c r="N329" i="20" s="1"/>
  <c r="K422" i="21"/>
  <c r="K482" i="21"/>
  <c r="O580" i="21"/>
  <c r="K593" i="21"/>
  <c r="L32" i="22"/>
  <c r="L30" i="22" s="1"/>
  <c r="N43" i="22"/>
  <c r="N41" i="22" s="1"/>
  <c r="P333" i="22"/>
  <c r="K345" i="12"/>
  <c r="K375" i="12"/>
  <c r="K427" i="15"/>
  <c r="N34" i="15"/>
  <c r="N14" i="15" s="1"/>
  <c r="O455" i="16"/>
  <c r="K350" i="17"/>
  <c r="P314" i="20"/>
  <c r="L224" i="21"/>
  <c r="L222" i="21" s="1"/>
  <c r="K249" i="21"/>
  <c r="P254" i="21"/>
  <c r="P57" i="12"/>
  <c r="N222" i="12"/>
  <c r="N220" i="12" s="1"/>
  <c r="L275" i="12"/>
  <c r="L273" i="12" s="1"/>
  <c r="O273" i="12" s="1"/>
  <c r="K350" i="12"/>
  <c r="O401" i="12"/>
  <c r="K455" i="12"/>
  <c r="K499" i="12"/>
  <c r="N43" i="13"/>
  <c r="N41" i="13" s="1"/>
  <c r="K87" i="13"/>
  <c r="L98" i="13"/>
  <c r="O98" i="13" s="1"/>
  <c r="N222" i="13"/>
  <c r="N220" i="13" s="1"/>
  <c r="K235" i="13"/>
  <c r="N252" i="13"/>
  <c r="N250" i="13" s="1"/>
  <c r="K455" i="13"/>
  <c r="O537" i="13"/>
  <c r="K149" i="14"/>
  <c r="N312" i="14"/>
  <c r="N310" i="14" s="1"/>
  <c r="K564" i="14"/>
  <c r="K631" i="14"/>
  <c r="N312" i="15"/>
  <c r="N310" i="15" s="1"/>
  <c r="N33" i="15"/>
  <c r="N13" i="15" s="1"/>
  <c r="O599" i="15"/>
  <c r="K629" i="15"/>
  <c r="N55" i="16"/>
  <c r="N53" i="16" s="1"/>
  <c r="K149" i="16"/>
  <c r="O435" i="16"/>
  <c r="K80" i="17"/>
  <c r="K88" i="17"/>
  <c r="O535" i="17"/>
  <c r="K630" i="17"/>
  <c r="K65" i="18"/>
  <c r="K138" i="18"/>
  <c r="K398" i="18"/>
  <c r="K402" i="18"/>
  <c r="O406" i="18"/>
  <c r="O459" i="18"/>
  <c r="K173" i="19"/>
  <c r="K265" i="19"/>
  <c r="K328" i="19"/>
  <c r="K380" i="19"/>
  <c r="K425" i="19"/>
  <c r="K624" i="20"/>
  <c r="O352" i="21"/>
  <c r="K370" i="21"/>
  <c r="O385" i="21"/>
  <c r="N55" i="22"/>
  <c r="N53" i="22" s="1"/>
  <c r="K349" i="22"/>
  <c r="K93" i="12"/>
  <c r="K111" i="12"/>
  <c r="K426" i="12"/>
  <c r="O535" i="12"/>
  <c r="K573" i="12"/>
  <c r="K632" i="12"/>
  <c r="L122" i="13"/>
  <c r="O122" i="13" s="1"/>
  <c r="K158" i="13"/>
  <c r="O455" i="13"/>
  <c r="K465" i="13"/>
  <c r="K473" i="13"/>
  <c r="K396" i="14"/>
  <c r="K401" i="14"/>
  <c r="O404" i="14"/>
  <c r="K618" i="14"/>
  <c r="K377" i="15"/>
  <c r="K381" i="15"/>
  <c r="K416" i="15"/>
  <c r="K424" i="15"/>
  <c r="O533" i="15"/>
  <c r="O564" i="15"/>
  <c r="L57" i="16"/>
  <c r="L55" i="16" s="1"/>
  <c r="L70" i="16"/>
  <c r="L68" i="16" s="1"/>
  <c r="O68" i="16" s="1"/>
  <c r="N120" i="16"/>
  <c r="N118" i="16" s="1"/>
  <c r="P144" i="16"/>
  <c r="K328" i="16"/>
  <c r="L333" i="16"/>
  <c r="O333" i="16" s="1"/>
  <c r="O439" i="16"/>
  <c r="K499" i="16"/>
  <c r="K133" i="17"/>
  <c r="N252" i="17"/>
  <c r="N250" i="17" s="1"/>
  <c r="N312" i="17"/>
  <c r="K432" i="17"/>
  <c r="O566" i="17"/>
  <c r="N55" i="18"/>
  <c r="N53" i="18" s="1"/>
  <c r="L70" i="18"/>
  <c r="L68" i="18" s="1"/>
  <c r="K80" i="18"/>
  <c r="L98" i="18"/>
  <c r="O98" i="18" s="1"/>
  <c r="N120" i="18"/>
  <c r="N118" i="18" s="1"/>
  <c r="K216" i="18"/>
  <c r="K235" i="18"/>
  <c r="K324" i="18"/>
  <c r="K466" i="18"/>
  <c r="L57" i="19"/>
  <c r="L55" i="19" s="1"/>
  <c r="K164" i="19"/>
  <c r="L275" i="19"/>
  <c r="O275" i="19" s="1"/>
  <c r="K285" i="19"/>
  <c r="K397" i="19"/>
  <c r="O401" i="19"/>
  <c r="O584" i="19"/>
  <c r="K634" i="19"/>
  <c r="K158" i="20"/>
  <c r="O566" i="20"/>
  <c r="K375" i="21"/>
  <c r="K380" i="21"/>
  <c r="O435" i="21"/>
  <c r="K451" i="21"/>
  <c r="K499" i="21"/>
  <c r="K173" i="22"/>
  <c r="K200" i="22"/>
  <c r="I367" i="22"/>
  <c r="K367" i="22" s="1"/>
  <c r="O401" i="22"/>
  <c r="K429" i="22"/>
  <c r="O437" i="22"/>
  <c r="K450" i="22"/>
  <c r="K564" i="22"/>
  <c r="P298" i="2"/>
  <c r="M298" i="1"/>
  <c r="I372" i="1"/>
  <c r="I577" i="1"/>
  <c r="I591" i="1"/>
  <c r="I81" i="1"/>
  <c r="J281" i="1"/>
  <c r="J504" i="1"/>
  <c r="L23" i="3"/>
  <c r="O23" i="3" s="1"/>
  <c r="I88" i="1"/>
  <c r="I109" i="1"/>
  <c r="J249" i="1"/>
  <c r="N298" i="1"/>
  <c r="I373" i="1"/>
  <c r="K373" i="1" s="1"/>
  <c r="I468" i="1"/>
  <c r="K468" i="1" s="1"/>
  <c r="I479" i="1"/>
  <c r="K479" i="1" s="1"/>
  <c r="I504" i="1"/>
  <c r="K504" i="1" s="1"/>
  <c r="L537" i="1"/>
  <c r="I629" i="1"/>
  <c r="N34" i="2"/>
  <c r="N14" i="2" s="1"/>
  <c r="M22" i="2"/>
  <c r="M12" i="2" s="1"/>
  <c r="J76" i="1"/>
  <c r="J90" i="1"/>
  <c r="K109" i="2"/>
  <c r="J132" i="1"/>
  <c r="L225" i="1"/>
  <c r="K270" i="2"/>
  <c r="K346" i="2"/>
  <c r="L404" i="1"/>
  <c r="K432" i="2"/>
  <c r="O455" i="2"/>
  <c r="K474" i="2"/>
  <c r="J512" i="1"/>
  <c r="I515" i="1"/>
  <c r="K515" i="1" s="1"/>
  <c r="I519" i="1"/>
  <c r="I523" i="1"/>
  <c r="I527" i="1"/>
  <c r="I531" i="1"/>
  <c r="K551" i="2"/>
  <c r="O567" i="2"/>
  <c r="K593" i="2"/>
  <c r="N599" i="1"/>
  <c r="L68" i="3"/>
  <c r="L66" i="3" s="1"/>
  <c r="N68" i="4"/>
  <c r="N66" i="4" s="1"/>
  <c r="O383" i="6"/>
  <c r="L32" i="6"/>
  <c r="L30" i="6" s="1"/>
  <c r="K618" i="8"/>
  <c r="K612" i="8"/>
  <c r="I422" i="1"/>
  <c r="I427" i="1"/>
  <c r="I503" i="1"/>
  <c r="K503" i="1" s="1"/>
  <c r="I92" i="1"/>
  <c r="I110" i="1"/>
  <c r="M224" i="1"/>
  <c r="L258" i="1"/>
  <c r="O258" i="1" s="1"/>
  <c r="I344" i="1"/>
  <c r="K344" i="1" s="1"/>
  <c r="L384" i="1"/>
  <c r="O384" i="1" s="1"/>
  <c r="I397" i="1"/>
  <c r="N404" i="1"/>
  <c r="I473" i="1"/>
  <c r="L564" i="1"/>
  <c r="O564" i="1" s="1"/>
  <c r="L31" i="2"/>
  <c r="L29" i="2" s="1"/>
  <c r="O29" i="2" s="1"/>
  <c r="P49" i="2"/>
  <c r="N57" i="1"/>
  <c r="J86" i="1"/>
  <c r="K92" i="2"/>
  <c r="J157" i="1"/>
  <c r="J219" i="1"/>
  <c r="L275" i="2"/>
  <c r="L273" i="2" s="1"/>
  <c r="L271" i="2" s="1"/>
  <c r="P294" i="2"/>
  <c r="P333" i="2"/>
  <c r="J368" i="1"/>
  <c r="N439" i="1"/>
  <c r="I499" i="1"/>
  <c r="O568" i="2"/>
  <c r="K80" i="3"/>
  <c r="O439" i="3"/>
  <c r="O599" i="3"/>
  <c r="K611" i="3"/>
  <c r="K635" i="3"/>
  <c r="L45" i="4"/>
  <c r="O45" i="4" s="1"/>
  <c r="K164" i="4"/>
  <c r="N32" i="4"/>
  <c r="N30" i="4" s="1"/>
  <c r="O351" i="9"/>
  <c r="L31" i="9"/>
  <c r="L29" i="9" s="1"/>
  <c r="O29" i="9" s="1"/>
  <c r="J65" i="1"/>
  <c r="L228" i="1"/>
  <c r="O228" i="1" s="1"/>
  <c r="I369" i="1"/>
  <c r="K369" i="1" s="1"/>
  <c r="N406" i="1"/>
  <c r="I419" i="1"/>
  <c r="L436" i="1"/>
  <c r="O436" i="1" s="1"/>
  <c r="L456" i="1"/>
  <c r="O456" i="1" s="1"/>
  <c r="I501" i="1"/>
  <c r="K501" i="1" s="1"/>
  <c r="L534" i="1"/>
  <c r="O534" i="1" s="1"/>
  <c r="I551" i="1"/>
  <c r="I575" i="1"/>
  <c r="L580" i="1"/>
  <c r="L600" i="1"/>
  <c r="O600" i="1" s="1"/>
  <c r="I620" i="1"/>
  <c r="N43" i="2"/>
  <c r="N41" i="2" s="1"/>
  <c r="J194" i="1"/>
  <c r="J200" i="1"/>
  <c r="K285" i="2"/>
  <c r="L294" i="2"/>
  <c r="O294" i="2" s="1"/>
  <c r="K309" i="2"/>
  <c r="N355" i="1"/>
  <c r="J364" i="1"/>
  <c r="O74" i="3"/>
  <c r="K249" i="3"/>
  <c r="N252" i="3"/>
  <c r="N250" i="3" s="1"/>
  <c r="L275" i="3"/>
  <c r="L273" i="3" s="1"/>
  <c r="N31" i="3"/>
  <c r="N29" i="3" s="1"/>
  <c r="K421" i="3"/>
  <c r="K449" i="3"/>
  <c r="O457" i="3"/>
  <c r="K564" i="3"/>
  <c r="K623" i="3"/>
  <c r="K628" i="3"/>
  <c r="K632" i="3"/>
  <c r="P49" i="4"/>
  <c r="K109" i="4"/>
  <c r="K133" i="4"/>
  <c r="K176" i="4"/>
  <c r="K186" i="4"/>
  <c r="O406" i="4"/>
  <c r="O455" i="5"/>
  <c r="K497" i="6"/>
  <c r="M55" i="8"/>
  <c r="P55" i="8" s="1"/>
  <c r="P57" i="8"/>
  <c r="K371" i="8"/>
  <c r="I367" i="8"/>
  <c r="K367" i="8" s="1"/>
  <c r="M120" i="9"/>
  <c r="P120" i="9" s="1"/>
  <c r="P122" i="9"/>
  <c r="M337" i="9"/>
  <c r="M26" i="9" s="1"/>
  <c r="M16" i="9" s="1"/>
  <c r="O337" i="9"/>
  <c r="O554" i="12"/>
  <c r="L33" i="12"/>
  <c r="O33" i="12" s="1"/>
  <c r="K626" i="3"/>
  <c r="I93" i="1"/>
  <c r="I85" i="1"/>
  <c r="I185" i="1"/>
  <c r="J199" i="1"/>
  <c r="N228" i="1"/>
  <c r="J340" i="1"/>
  <c r="I376" i="1"/>
  <c r="I464" i="1"/>
  <c r="I487" i="1"/>
  <c r="K487" i="1" s="1"/>
  <c r="L551" i="1"/>
  <c r="I84" i="1"/>
  <c r="M98" i="1"/>
  <c r="J159" i="1"/>
  <c r="J195" i="1"/>
  <c r="K267" i="2"/>
  <c r="K398" i="2"/>
  <c r="L406" i="1"/>
  <c r="I625" i="1"/>
  <c r="K341" i="3"/>
  <c r="K349" i="3"/>
  <c r="K484" i="3"/>
  <c r="K620" i="3"/>
  <c r="P275" i="9"/>
  <c r="M273" i="9"/>
  <c r="P273" i="9" s="1"/>
  <c r="K621" i="11"/>
  <c r="K624" i="11"/>
  <c r="O406" i="6"/>
  <c r="L34" i="6"/>
  <c r="I113" i="1"/>
  <c r="I201" i="1"/>
  <c r="I264" i="1"/>
  <c r="J482" i="1"/>
  <c r="L535" i="1"/>
  <c r="L582" i="1"/>
  <c r="I590" i="1"/>
  <c r="K590" i="1" s="1"/>
  <c r="I633" i="1"/>
  <c r="J80" i="1"/>
  <c r="P122" i="2"/>
  <c r="K229" i="2"/>
  <c r="J236" i="1"/>
  <c r="I244" i="1"/>
  <c r="K244" i="1" s="1"/>
  <c r="L314" i="2"/>
  <c r="O314" i="2" s="1"/>
  <c r="K324" i="2"/>
  <c r="I342" i="1"/>
  <c r="K342" i="1" s="1"/>
  <c r="K419" i="2"/>
  <c r="K427" i="2"/>
  <c r="I431" i="1"/>
  <c r="K431" i="1" s="1"/>
  <c r="O457" i="2"/>
  <c r="K466" i="2"/>
  <c r="K473" i="2"/>
  <c r="J480" i="1"/>
  <c r="I494" i="1"/>
  <c r="K494" i="1" s="1"/>
  <c r="J507" i="1"/>
  <c r="N588" i="1"/>
  <c r="J610" i="1"/>
  <c r="K86" i="3"/>
  <c r="M292" i="3"/>
  <c r="K422" i="3"/>
  <c r="K450" i="3"/>
  <c r="K464" i="3"/>
  <c r="K474" i="3"/>
  <c r="K629" i="3"/>
  <c r="I87" i="1"/>
  <c r="L568" i="1"/>
  <c r="L58" i="1"/>
  <c r="I235" i="1"/>
  <c r="I452" i="1"/>
  <c r="K452" i="1" s="1"/>
  <c r="N354" i="1"/>
  <c r="I564" i="1"/>
  <c r="J64" i="1"/>
  <c r="J89" i="1"/>
  <c r="L98" i="2"/>
  <c r="O98" i="2" s="1"/>
  <c r="K132" i="2"/>
  <c r="J282" i="1"/>
  <c r="M292" i="2"/>
  <c r="M290" i="2" s="1"/>
  <c r="J306" i="1"/>
  <c r="N318" i="1"/>
  <c r="I339" i="1"/>
  <c r="K339" i="1" s="1"/>
  <c r="O349" i="2"/>
  <c r="N382" i="1"/>
  <c r="K416" i="2"/>
  <c r="J420" i="1"/>
  <c r="I451" i="1"/>
  <c r="J631" i="1"/>
  <c r="J635" i="1"/>
  <c r="J109" i="1"/>
  <c r="J112" i="1"/>
  <c r="K112" i="1" s="1"/>
  <c r="K265" i="3"/>
  <c r="N385" i="1"/>
  <c r="J394" i="1"/>
  <c r="J560" i="1"/>
  <c r="I630" i="1"/>
  <c r="J78" i="1"/>
  <c r="I189" i="1"/>
  <c r="J204" i="1"/>
  <c r="O385" i="9"/>
  <c r="L34" i="9"/>
  <c r="O351" i="15"/>
  <c r="L31" i="15"/>
  <c r="L11" i="15" s="1"/>
  <c r="M312" i="16"/>
  <c r="P312" i="16" s="1"/>
  <c r="P314" i="16"/>
  <c r="N33" i="4"/>
  <c r="N13" i="4" s="1"/>
  <c r="I418" i="1"/>
  <c r="K422" i="4"/>
  <c r="K430" i="4"/>
  <c r="J550" i="1"/>
  <c r="J321" i="1"/>
  <c r="J328" i="1"/>
  <c r="K328" i="1" s="1"/>
  <c r="N407" i="1"/>
  <c r="K427" i="5"/>
  <c r="J451" i="1"/>
  <c r="K455" i="5"/>
  <c r="J492" i="1"/>
  <c r="K612" i="5"/>
  <c r="K350" i="6"/>
  <c r="L98" i="7"/>
  <c r="O98" i="7" s="1"/>
  <c r="L224" i="7"/>
  <c r="O224" i="7" s="1"/>
  <c r="N252" i="7"/>
  <c r="N250" i="7" s="1"/>
  <c r="M312" i="7"/>
  <c r="P312" i="7" s="1"/>
  <c r="N34" i="7"/>
  <c r="N14" i="7" s="1"/>
  <c r="K628" i="7"/>
  <c r="K173" i="8"/>
  <c r="K199" i="8"/>
  <c r="O349" i="8"/>
  <c r="K611" i="8"/>
  <c r="N273" i="9"/>
  <c r="N271" i="9" s="1"/>
  <c r="O380" i="11"/>
  <c r="K466" i="14"/>
  <c r="K634" i="14"/>
  <c r="L294" i="4"/>
  <c r="L292" i="4" s="1"/>
  <c r="K349" i="4"/>
  <c r="O352" i="4"/>
  <c r="K402" i="4"/>
  <c r="K435" i="4"/>
  <c r="K632" i="4"/>
  <c r="L45" i="5"/>
  <c r="L43" i="5" s="1"/>
  <c r="L41" i="5" s="1"/>
  <c r="K92" i="5"/>
  <c r="O349" i="5"/>
  <c r="K375" i="5"/>
  <c r="K380" i="5"/>
  <c r="O404" i="5"/>
  <c r="K424" i="5"/>
  <c r="K428" i="5"/>
  <c r="O435" i="5"/>
  <c r="K629" i="5"/>
  <c r="K219" i="6"/>
  <c r="P224" i="6"/>
  <c r="K265" i="6"/>
  <c r="O439" i="6"/>
  <c r="O533" i="6"/>
  <c r="K573" i="6"/>
  <c r="K173" i="7"/>
  <c r="M273" i="7"/>
  <c r="P273" i="7" s="1"/>
  <c r="P333" i="7"/>
  <c r="K450" i="7"/>
  <c r="K547" i="7"/>
  <c r="K189" i="8"/>
  <c r="K200" i="8"/>
  <c r="K216" i="8"/>
  <c r="M292" i="8"/>
  <c r="P292" i="8" s="1"/>
  <c r="K350" i="8"/>
  <c r="K396" i="8"/>
  <c r="K427" i="8"/>
  <c r="K430" i="8"/>
  <c r="O533" i="8"/>
  <c r="O564" i="8"/>
  <c r="K573" i="8"/>
  <c r="K634" i="8"/>
  <c r="N292" i="9"/>
  <c r="N290" i="9" s="1"/>
  <c r="K421" i="9"/>
  <c r="K110" i="12"/>
  <c r="M273" i="14"/>
  <c r="P273" i="14" s="1"/>
  <c r="P275" i="14"/>
  <c r="N31" i="14"/>
  <c r="N29" i="14" s="1"/>
  <c r="K266" i="4"/>
  <c r="L275" i="4"/>
  <c r="O275" i="4" s="1"/>
  <c r="K451" i="4"/>
  <c r="K591" i="4"/>
  <c r="K624" i="4"/>
  <c r="K629" i="4"/>
  <c r="P98" i="5"/>
  <c r="K111" i="5"/>
  <c r="K199" i="5"/>
  <c r="L34" i="5"/>
  <c r="K372" i="5"/>
  <c r="K421" i="5"/>
  <c r="K432" i="5"/>
  <c r="N31" i="5"/>
  <c r="N11" i="5" s="1"/>
  <c r="N9" i="5" s="1"/>
  <c r="O459" i="5"/>
  <c r="O601" i="5"/>
  <c r="K630" i="5"/>
  <c r="L144" i="6"/>
  <c r="O144" i="6" s="1"/>
  <c r="K173" i="6"/>
  <c r="L314" i="6"/>
  <c r="O314" i="6" s="1"/>
  <c r="K397" i="6"/>
  <c r="K417" i="6"/>
  <c r="K449" i="6"/>
  <c r="K466" i="6"/>
  <c r="K473" i="6"/>
  <c r="O564" i="6"/>
  <c r="O568" i="6"/>
  <c r="K633" i="6"/>
  <c r="N68" i="7"/>
  <c r="N66" i="7" s="1"/>
  <c r="K158" i="7"/>
  <c r="O383" i="7"/>
  <c r="N33" i="7"/>
  <c r="N13" i="7" s="1"/>
  <c r="K533" i="7"/>
  <c r="N142" i="8"/>
  <c r="K158" i="8"/>
  <c r="L254" i="8"/>
  <c r="L252" i="8" s="1"/>
  <c r="K401" i="8"/>
  <c r="K428" i="8"/>
  <c r="O439" i="8"/>
  <c r="K616" i="8"/>
  <c r="K635" i="8"/>
  <c r="K158" i="9"/>
  <c r="K422" i="9"/>
  <c r="O383" i="10"/>
  <c r="K615" i="12"/>
  <c r="K616" i="12"/>
  <c r="P45" i="17"/>
  <c r="M43" i="17"/>
  <c r="M41" i="17" s="1"/>
  <c r="N32" i="6"/>
  <c r="N30" i="6" s="1"/>
  <c r="K204" i="12"/>
  <c r="K613" i="14"/>
  <c r="K617" i="14"/>
  <c r="K465" i="4"/>
  <c r="O582" i="4"/>
  <c r="L122" i="5"/>
  <c r="O122" i="5" s="1"/>
  <c r="K132" i="5"/>
  <c r="L144" i="5"/>
  <c r="O144" i="5" s="1"/>
  <c r="K173" i="5"/>
  <c r="K343" i="5"/>
  <c r="K189" i="6"/>
  <c r="K200" i="6"/>
  <c r="K429" i="6"/>
  <c r="L57" i="7"/>
  <c r="L55" i="7" s="1"/>
  <c r="P224" i="7"/>
  <c r="K345" i="7"/>
  <c r="L26" i="8"/>
  <c r="L16" i="8" s="1"/>
  <c r="L333" i="8"/>
  <c r="O333" i="8" s="1"/>
  <c r="K376" i="8"/>
  <c r="K417" i="8"/>
  <c r="K449" i="8"/>
  <c r="O601" i="8"/>
  <c r="K547" i="9"/>
  <c r="L24" i="12"/>
  <c r="O24" i="12" s="1"/>
  <c r="K173" i="12"/>
  <c r="K431" i="12"/>
  <c r="O439" i="12"/>
  <c r="L34" i="12"/>
  <c r="P144" i="14"/>
  <c r="N142" i="14"/>
  <c r="P142" i="14" s="1"/>
  <c r="N68" i="18"/>
  <c r="N66" i="18" s="1"/>
  <c r="N252" i="4"/>
  <c r="N250" i="4" s="1"/>
  <c r="K368" i="4"/>
  <c r="K397" i="4"/>
  <c r="K425" i="4"/>
  <c r="K449" i="4"/>
  <c r="K533" i="4"/>
  <c r="K625" i="4"/>
  <c r="N68" i="5"/>
  <c r="N66" i="5" s="1"/>
  <c r="L275" i="5"/>
  <c r="O275" i="5" s="1"/>
  <c r="K306" i="5"/>
  <c r="P333" i="5"/>
  <c r="K349" i="5"/>
  <c r="O385" i="5"/>
  <c r="O406" i="5"/>
  <c r="K422" i="5"/>
  <c r="K435" i="5"/>
  <c r="K64" i="6"/>
  <c r="K149" i="6"/>
  <c r="M222" i="6"/>
  <c r="N222" i="6"/>
  <c r="N220" i="6" s="1"/>
  <c r="K235" i="6"/>
  <c r="K264" i="6"/>
  <c r="O349" i="6"/>
  <c r="K426" i="6"/>
  <c r="K430" i="6"/>
  <c r="K499" i="6"/>
  <c r="K616" i="6"/>
  <c r="K630" i="6"/>
  <c r="N96" i="7"/>
  <c r="N94" i="7" s="1"/>
  <c r="K199" i="7"/>
  <c r="L275" i="7"/>
  <c r="O275" i="7" s="1"/>
  <c r="K402" i="7"/>
  <c r="K429" i="7"/>
  <c r="K449" i="7"/>
  <c r="K497" i="7"/>
  <c r="K564" i="7"/>
  <c r="K573" i="7"/>
  <c r="P144" i="8"/>
  <c r="N222" i="8"/>
  <c r="N220" i="8" s="1"/>
  <c r="N252" i="8"/>
  <c r="N250" i="8" s="1"/>
  <c r="L314" i="8"/>
  <c r="O314" i="8" s="1"/>
  <c r="K402" i="8"/>
  <c r="K418" i="8"/>
  <c r="K422" i="8"/>
  <c r="O535" i="8"/>
  <c r="K629" i="8"/>
  <c r="L32" i="9"/>
  <c r="L30" i="9" s="1"/>
  <c r="P98" i="9"/>
  <c r="K219" i="9"/>
  <c r="L294" i="9"/>
  <c r="O294" i="9" s="1"/>
  <c r="P96" i="11"/>
  <c r="M94" i="11"/>
  <c r="P94" i="11" s="1"/>
  <c r="L144" i="12"/>
  <c r="L142" i="12" s="1"/>
  <c r="L140" i="12" s="1"/>
  <c r="K420" i="12"/>
  <c r="O385" i="13"/>
  <c r="L34" i="13"/>
  <c r="O353" i="14"/>
  <c r="L33" i="14"/>
  <c r="O33" i="14" s="1"/>
  <c r="I367" i="15"/>
  <c r="K367" i="15" s="1"/>
  <c r="K369" i="15"/>
  <c r="N32" i="9"/>
  <c r="N30" i="9" s="1"/>
  <c r="P45" i="11"/>
  <c r="N31" i="11"/>
  <c r="N29" i="11" s="1"/>
  <c r="O566" i="11"/>
  <c r="N68" i="12"/>
  <c r="N66" i="12" s="1"/>
  <c r="O580" i="12"/>
  <c r="K219" i="13"/>
  <c r="K340" i="14"/>
  <c r="K624" i="14"/>
  <c r="L144" i="15"/>
  <c r="O144" i="15" s="1"/>
  <c r="L294" i="15"/>
  <c r="L292" i="15" s="1"/>
  <c r="O292" i="15" s="1"/>
  <c r="P98" i="16"/>
  <c r="O385" i="18"/>
  <c r="K625" i="19"/>
  <c r="K623" i="19"/>
  <c r="K632" i="19"/>
  <c r="L122" i="10"/>
  <c r="O122" i="10" s="1"/>
  <c r="K149" i="10"/>
  <c r="K368" i="10"/>
  <c r="N43" i="11"/>
  <c r="N41" i="11" s="1"/>
  <c r="K449" i="11"/>
  <c r="K466" i="11"/>
  <c r="K473" i="11"/>
  <c r="O533" i="11"/>
  <c r="K113" i="12"/>
  <c r="N142" i="12"/>
  <c r="N140" i="12" s="1"/>
  <c r="K213" i="12"/>
  <c r="L314" i="12"/>
  <c r="L312" i="12" s="1"/>
  <c r="L310" i="12" s="1"/>
  <c r="O310" i="12" s="1"/>
  <c r="K402" i="12"/>
  <c r="K435" i="12"/>
  <c r="K464" i="12"/>
  <c r="K498" i="12"/>
  <c r="K564" i="12"/>
  <c r="L144" i="13"/>
  <c r="O144" i="13" s="1"/>
  <c r="K402" i="13"/>
  <c r="K426" i="13"/>
  <c r="K497" i="13"/>
  <c r="K420" i="14"/>
  <c r="O435" i="14"/>
  <c r="P45" i="15"/>
  <c r="L70" i="15"/>
  <c r="L68" i="15" s="1"/>
  <c r="L122" i="15"/>
  <c r="L120" i="15" s="1"/>
  <c r="O120" i="15" s="1"/>
  <c r="K229" i="15"/>
  <c r="K350" i="15"/>
  <c r="O354" i="15"/>
  <c r="K368" i="15"/>
  <c r="K375" i="15"/>
  <c r="K418" i="15"/>
  <c r="K422" i="15"/>
  <c r="P122" i="16"/>
  <c r="M120" i="16"/>
  <c r="P120" i="16" s="1"/>
  <c r="O564" i="16"/>
  <c r="P74" i="17"/>
  <c r="M292" i="17"/>
  <c r="P292" i="17" s="1"/>
  <c r="P294" i="17"/>
  <c r="L275" i="18"/>
  <c r="L273" i="18" s="1"/>
  <c r="K285" i="18"/>
  <c r="K372" i="19"/>
  <c r="N32" i="19"/>
  <c r="N30" i="19" s="1"/>
  <c r="K629" i="19"/>
  <c r="P333" i="20"/>
  <c r="K632" i="9"/>
  <c r="N43" i="10"/>
  <c r="N41" i="10" s="1"/>
  <c r="N142" i="10"/>
  <c r="N140" i="10" s="1"/>
  <c r="K199" i="10"/>
  <c r="K213" i="10"/>
  <c r="K401" i="10"/>
  <c r="K427" i="10"/>
  <c r="K634" i="10"/>
  <c r="K397" i="11"/>
  <c r="O404" i="11"/>
  <c r="K423" i="11"/>
  <c r="O537" i="11"/>
  <c r="N43" i="12"/>
  <c r="N41" i="12" s="1"/>
  <c r="L70" i="12"/>
  <c r="M273" i="12"/>
  <c r="P273" i="12" s="1"/>
  <c r="O349" i="12"/>
  <c r="K416" i="12"/>
  <c r="O455" i="12"/>
  <c r="O459" i="12"/>
  <c r="O568" i="12"/>
  <c r="K631" i="12"/>
  <c r="K635" i="12"/>
  <c r="K189" i="13"/>
  <c r="L294" i="13"/>
  <c r="O294" i="13" s="1"/>
  <c r="K430" i="13"/>
  <c r="K464" i="13"/>
  <c r="N31" i="13"/>
  <c r="N29" i="13" s="1"/>
  <c r="O566" i="13"/>
  <c r="K635" i="13"/>
  <c r="L70" i="14"/>
  <c r="L68" i="14" s="1"/>
  <c r="O68" i="14" s="1"/>
  <c r="K199" i="14"/>
  <c r="K219" i="14"/>
  <c r="L314" i="14"/>
  <c r="O314" i="14" s="1"/>
  <c r="K428" i="14"/>
  <c r="K547" i="14"/>
  <c r="L314" i="15"/>
  <c r="O314" i="15" s="1"/>
  <c r="K376" i="15"/>
  <c r="O380" i="15"/>
  <c r="K398" i="15"/>
  <c r="K402" i="15"/>
  <c r="O455" i="15"/>
  <c r="O459" i="15"/>
  <c r="K465" i="15"/>
  <c r="P70" i="18"/>
  <c r="O533" i="18"/>
  <c r="O537" i="18"/>
  <c r="P314" i="19"/>
  <c r="M312" i="19"/>
  <c r="P312" i="19" s="1"/>
  <c r="O354" i="19"/>
  <c r="L34" i="19"/>
  <c r="K597" i="19"/>
  <c r="L292" i="20"/>
  <c r="O292" i="20" s="1"/>
  <c r="K270" i="21"/>
  <c r="P70" i="22"/>
  <c r="M68" i="22"/>
  <c r="P68" i="22" s="1"/>
  <c r="N34" i="21"/>
  <c r="N14" i="21" s="1"/>
  <c r="M120" i="22"/>
  <c r="M118" i="22" s="1"/>
  <c r="P118" i="22" s="1"/>
  <c r="M252" i="10"/>
  <c r="K376" i="10"/>
  <c r="O435" i="10"/>
  <c r="O566" i="10"/>
  <c r="K631" i="10"/>
  <c r="N96" i="11"/>
  <c r="N94" i="11" s="1"/>
  <c r="K149" i="11"/>
  <c r="N292" i="11"/>
  <c r="N290" i="11" s="1"/>
  <c r="O401" i="11"/>
  <c r="K435" i="11"/>
  <c r="K455" i="11"/>
  <c r="K632" i="11"/>
  <c r="K372" i="12"/>
  <c r="K401" i="12"/>
  <c r="K611" i="12"/>
  <c r="K64" i="13"/>
  <c r="O337" i="13"/>
  <c r="K423" i="13"/>
  <c r="K200" i="14"/>
  <c r="P224" i="14"/>
  <c r="K421" i="14"/>
  <c r="K425" i="14"/>
  <c r="K429" i="14"/>
  <c r="K449" i="14"/>
  <c r="K611" i="14"/>
  <c r="K615" i="14"/>
  <c r="K149" i="15"/>
  <c r="M292" i="15"/>
  <c r="M290" i="15" s="1"/>
  <c r="P290" i="15" s="1"/>
  <c r="K466" i="15"/>
  <c r="O385" i="16"/>
  <c r="N22" i="17"/>
  <c r="P98" i="21"/>
  <c r="K235" i="10"/>
  <c r="K564" i="10"/>
  <c r="N68" i="11"/>
  <c r="N66" i="11" s="1"/>
  <c r="L98" i="11"/>
  <c r="O98" i="11" s="1"/>
  <c r="P333" i="12"/>
  <c r="K417" i="12"/>
  <c r="K428" i="12"/>
  <c r="K449" i="12"/>
  <c r="K628" i="12"/>
  <c r="K401" i="13"/>
  <c r="O404" i="13"/>
  <c r="K424" i="13"/>
  <c r="O439" i="13"/>
  <c r="O459" i="13"/>
  <c r="K499" i="13"/>
  <c r="K533" i="13"/>
  <c r="L24" i="14"/>
  <c r="O24" i="14" s="1"/>
  <c r="O599" i="14"/>
  <c r="P57" i="15"/>
  <c r="K340" i="15"/>
  <c r="K349" i="15"/>
  <c r="O438" i="17"/>
  <c r="L33" i="17"/>
  <c r="O33" i="17" s="1"/>
  <c r="N32" i="20"/>
  <c r="N30" i="20" s="1"/>
  <c r="L57" i="10"/>
  <c r="O57" i="10" s="1"/>
  <c r="N312" i="10"/>
  <c r="N310" i="10" s="1"/>
  <c r="K628" i="10"/>
  <c r="N312" i="12"/>
  <c r="N310" i="12" s="1"/>
  <c r="K593" i="12"/>
  <c r="N43" i="14"/>
  <c r="N41" i="14" s="1"/>
  <c r="K164" i="14"/>
  <c r="K612" i="14"/>
  <c r="N331" i="15"/>
  <c r="N329" i="15" s="1"/>
  <c r="K533" i="15"/>
  <c r="K417" i="16"/>
  <c r="L31" i="17"/>
  <c r="L11" i="17" s="1"/>
  <c r="O11" i="17" s="1"/>
  <c r="N55" i="17"/>
  <c r="N53" i="17" s="1"/>
  <c r="L98" i="17"/>
  <c r="O98" i="17" s="1"/>
  <c r="N34" i="18"/>
  <c r="N14" i="18" s="1"/>
  <c r="K427" i="18"/>
  <c r="O435" i="18"/>
  <c r="O439" i="18"/>
  <c r="K264" i="19"/>
  <c r="L294" i="19"/>
  <c r="O294" i="19" s="1"/>
  <c r="K424" i="19"/>
  <c r="N34" i="20"/>
  <c r="N14" i="20" s="1"/>
  <c r="M22" i="10"/>
  <c r="M20" i="10" s="1"/>
  <c r="M18" i="10" s="1"/>
  <c r="L333" i="10"/>
  <c r="L331" i="10" s="1"/>
  <c r="O564" i="10"/>
  <c r="K173" i="11"/>
  <c r="L224" i="11"/>
  <c r="L222" i="11" s="1"/>
  <c r="L220" i="11" s="1"/>
  <c r="N273" i="11"/>
  <c r="N271" i="11" s="1"/>
  <c r="K328" i="11"/>
  <c r="N331" i="11"/>
  <c r="N329" i="11" s="1"/>
  <c r="L34" i="11"/>
  <c r="O459" i="11"/>
  <c r="K465" i="11"/>
  <c r="K630" i="11"/>
  <c r="K112" i="12"/>
  <c r="L122" i="12"/>
  <c r="O122" i="12" s="1"/>
  <c r="K229" i="12"/>
  <c r="P254" i="12"/>
  <c r="K267" i="12"/>
  <c r="K341" i="12"/>
  <c r="K370" i="12"/>
  <c r="K398" i="12"/>
  <c r="K418" i="12"/>
  <c r="N96" i="13"/>
  <c r="N94" i="13" s="1"/>
  <c r="M120" i="13"/>
  <c r="P120" i="13" s="1"/>
  <c r="P144" i="13"/>
  <c r="M222" i="13"/>
  <c r="M220" i="13" s="1"/>
  <c r="P333" i="13"/>
  <c r="O401" i="13"/>
  <c r="K425" i="13"/>
  <c r="K428" i="13"/>
  <c r="L45" i="14"/>
  <c r="O45" i="14" s="1"/>
  <c r="P57" i="14"/>
  <c r="K158" i="14"/>
  <c r="O406" i="14"/>
  <c r="K419" i="14"/>
  <c r="K499" i="14"/>
  <c r="M43" i="15"/>
  <c r="M41" i="15" s="1"/>
  <c r="L57" i="15"/>
  <c r="N22" i="15"/>
  <c r="K341" i="15"/>
  <c r="K158" i="16"/>
  <c r="K450" i="16"/>
  <c r="K420" i="17"/>
  <c r="K424" i="17"/>
  <c r="O439" i="17"/>
  <c r="O403" i="18"/>
  <c r="L31" i="18"/>
  <c r="L11" i="18" s="1"/>
  <c r="L9" i="18" s="1"/>
  <c r="K416" i="18"/>
  <c r="K132" i="19"/>
  <c r="O537" i="15"/>
  <c r="K164" i="16"/>
  <c r="N312" i="16"/>
  <c r="N310" i="16" s="1"/>
  <c r="O437" i="16"/>
  <c r="K533" i="16"/>
  <c r="K117" i="17"/>
  <c r="P122" i="17"/>
  <c r="K173" i="17"/>
  <c r="K189" i="17"/>
  <c r="K200" i="17"/>
  <c r="K266" i="17"/>
  <c r="K377" i="17"/>
  <c r="O385" i="17"/>
  <c r="K419" i="17"/>
  <c r="K431" i="17"/>
  <c r="O564" i="17"/>
  <c r="L45" i="18"/>
  <c r="O45" i="18" s="1"/>
  <c r="L122" i="18"/>
  <c r="L120" i="18" s="1"/>
  <c r="O120" i="18" s="1"/>
  <c r="L224" i="18"/>
  <c r="L222" i="18" s="1"/>
  <c r="K270" i="18"/>
  <c r="K306" i="18"/>
  <c r="K343" i="18"/>
  <c r="O347" i="18"/>
  <c r="K419" i="18"/>
  <c r="O455" i="18"/>
  <c r="K564" i="18"/>
  <c r="O580" i="18"/>
  <c r="K593" i="18"/>
  <c r="K630" i="18"/>
  <c r="L98" i="19"/>
  <c r="O98" i="19" s="1"/>
  <c r="K112" i="19"/>
  <c r="K200" i="19"/>
  <c r="K235" i="19"/>
  <c r="L254" i="19"/>
  <c r="O254" i="19" s="1"/>
  <c r="K396" i="19"/>
  <c r="K401" i="19"/>
  <c r="O404" i="19"/>
  <c r="K427" i="19"/>
  <c r="O455" i="19"/>
  <c r="O535" i="19"/>
  <c r="M118" i="20"/>
  <c r="P118" i="20" s="1"/>
  <c r="L144" i="20"/>
  <c r="L142" i="20" s="1"/>
  <c r="L140" i="20" s="1"/>
  <c r="O404" i="20"/>
  <c r="K421" i="20"/>
  <c r="O537" i="20"/>
  <c r="K149" i="21"/>
  <c r="K229" i="21"/>
  <c r="K428" i="21"/>
  <c r="K580" i="21"/>
  <c r="K595" i="21"/>
  <c r="K631" i="21"/>
  <c r="K199" i="22"/>
  <c r="L314" i="22"/>
  <c r="O314" i="22" s="1"/>
  <c r="O349" i="22"/>
  <c r="K401" i="22"/>
  <c r="O404" i="22"/>
  <c r="K427" i="22"/>
  <c r="O435" i="22"/>
  <c r="O439" i="22"/>
  <c r="O599" i="22"/>
  <c r="L254" i="16"/>
  <c r="L252" i="16" s="1"/>
  <c r="K396" i="16"/>
  <c r="K235" i="17"/>
  <c r="K267" i="17"/>
  <c r="N26" i="18"/>
  <c r="N16" i="18" s="1"/>
  <c r="K185" i="18"/>
  <c r="N252" i="18"/>
  <c r="N250" i="18" s="1"/>
  <c r="L333" i="18"/>
  <c r="L331" i="18" s="1"/>
  <c r="L329" i="18" s="1"/>
  <c r="K109" i="19"/>
  <c r="O347" i="19"/>
  <c r="N96" i="20"/>
  <c r="N94" i="20" s="1"/>
  <c r="N33" i="20"/>
  <c r="N13" i="20" s="1"/>
  <c r="P57" i="21"/>
  <c r="K117" i="21"/>
  <c r="K219" i="21"/>
  <c r="N222" i="21"/>
  <c r="P222" i="21" s="1"/>
  <c r="K285" i="21"/>
  <c r="K466" i="21"/>
  <c r="K474" i="21"/>
  <c r="O537" i="21"/>
  <c r="K597" i="21"/>
  <c r="K625" i="21"/>
  <c r="K632" i="21"/>
  <c r="N68" i="22"/>
  <c r="N66" i="22" s="1"/>
  <c r="M96" i="22"/>
  <c r="P96" i="22" s="1"/>
  <c r="O347" i="22"/>
  <c r="O564" i="22"/>
  <c r="K199" i="16"/>
  <c r="K343" i="16"/>
  <c r="O347" i="16"/>
  <c r="N31" i="16"/>
  <c r="K613" i="16"/>
  <c r="N68" i="17"/>
  <c r="N66" i="17" s="1"/>
  <c r="K345" i="17"/>
  <c r="K375" i="17"/>
  <c r="K481" i="17"/>
  <c r="P337" i="18"/>
  <c r="K421" i="18"/>
  <c r="K424" i="18"/>
  <c r="N68" i="19"/>
  <c r="N66" i="19" s="1"/>
  <c r="P224" i="19"/>
  <c r="N312" i="19"/>
  <c r="N310" i="19" s="1"/>
  <c r="K449" i="19"/>
  <c r="O457" i="19"/>
  <c r="O533" i="19"/>
  <c r="K591" i="19"/>
  <c r="O601" i="19"/>
  <c r="K219" i="20"/>
  <c r="M292" i="20"/>
  <c r="P292" i="20" s="1"/>
  <c r="K402" i="20"/>
  <c r="K423" i="20"/>
  <c r="O568" i="20"/>
  <c r="O597" i="20"/>
  <c r="O601" i="20"/>
  <c r="N43" i="21"/>
  <c r="P43" i="21" s="1"/>
  <c r="L144" i="21"/>
  <c r="O144" i="21" s="1"/>
  <c r="K200" i="21"/>
  <c r="L122" i="22"/>
  <c r="O122" i="22" s="1"/>
  <c r="N31" i="22"/>
  <c r="O597" i="22"/>
  <c r="O535" i="15"/>
  <c r="K83" i="17"/>
  <c r="N32" i="17"/>
  <c r="N30" i="17" s="1"/>
  <c r="L294" i="18"/>
  <c r="L292" i="18" s="1"/>
  <c r="K450" i="18"/>
  <c r="O535" i="18"/>
  <c r="O582" i="18"/>
  <c r="K149" i="20"/>
  <c r="L24" i="21"/>
  <c r="O24" i="21" s="1"/>
  <c r="O349" i="21"/>
  <c r="K368" i="21"/>
  <c r="K430" i="21"/>
  <c r="K435" i="21"/>
  <c r="K450" i="21"/>
  <c r="K455" i="21"/>
  <c r="K547" i="21"/>
  <c r="K624" i="21"/>
  <c r="K158" i="22"/>
  <c r="N273" i="22"/>
  <c r="N271" i="22" s="1"/>
  <c r="K370" i="22"/>
  <c r="N34" i="22"/>
  <c r="N14" i="22" s="1"/>
  <c r="O580" i="15"/>
  <c r="O584" i="15"/>
  <c r="O597" i="15"/>
  <c r="O601" i="15"/>
  <c r="K189" i="16"/>
  <c r="K200" i="16"/>
  <c r="K270" i="16"/>
  <c r="P333" i="16"/>
  <c r="K424" i="16"/>
  <c r="O535" i="16"/>
  <c r="K629" i="16"/>
  <c r="L314" i="17"/>
  <c r="O314" i="17" s="1"/>
  <c r="O380" i="17"/>
  <c r="K418" i="17"/>
  <c r="K547" i="17"/>
  <c r="O597" i="17"/>
  <c r="P45" i="18"/>
  <c r="K88" i="18"/>
  <c r="N96" i="18"/>
  <c r="N94" i="18" s="1"/>
  <c r="K219" i="18"/>
  <c r="K304" i="18"/>
  <c r="K418" i="18"/>
  <c r="K422" i="18"/>
  <c r="L34" i="18"/>
  <c r="K580" i="18"/>
  <c r="K111" i="19"/>
  <c r="K219" i="19"/>
  <c r="K341" i="19"/>
  <c r="K345" i="19"/>
  <c r="K450" i="19"/>
  <c r="K455" i="19"/>
  <c r="K464" i="19"/>
  <c r="K482" i="19"/>
  <c r="L70" i="20"/>
  <c r="O70" i="20" s="1"/>
  <c r="K533" i="20"/>
  <c r="K619" i="20"/>
  <c r="K614" i="20"/>
  <c r="K617" i="20"/>
  <c r="K629" i="20"/>
  <c r="K164" i="21"/>
  <c r="K427" i="21"/>
  <c r="K464" i="21"/>
  <c r="O535" i="21"/>
  <c r="O568" i="21"/>
  <c r="O582" i="21"/>
  <c r="K630" i="21"/>
  <c r="K634" i="21"/>
  <c r="N142" i="22"/>
  <c r="N140" i="22" s="1"/>
  <c r="P140" i="22" s="1"/>
  <c r="N252" i="22"/>
  <c r="N250" i="22" s="1"/>
  <c r="L333" i="22"/>
  <c r="O333" i="22" s="1"/>
  <c r="K416" i="22"/>
  <c r="K547" i="22"/>
  <c r="N102" i="1"/>
  <c r="J455" i="1"/>
  <c r="N26" i="2"/>
  <c r="N16" i="2" s="1"/>
  <c r="N68" i="2"/>
  <c r="N66" i="2" s="1"/>
  <c r="N96" i="2"/>
  <c r="N94" i="2" s="1"/>
  <c r="K112" i="2"/>
  <c r="K164" i="2"/>
  <c r="M331" i="2"/>
  <c r="M329" i="2" s="1"/>
  <c r="L34" i="2"/>
  <c r="M68" i="5"/>
  <c r="P68" i="5" s="1"/>
  <c r="P70" i="5"/>
  <c r="N49" i="1"/>
  <c r="I343" i="1"/>
  <c r="K158" i="2"/>
  <c r="I635" i="1"/>
  <c r="N33" i="3"/>
  <c r="N13" i="3" s="1"/>
  <c r="O566" i="4"/>
  <c r="L32" i="4"/>
  <c r="L30" i="4" s="1"/>
  <c r="L438" i="1"/>
  <c r="O438" i="1" s="1"/>
  <c r="I489" i="1"/>
  <c r="K489" i="1" s="1"/>
  <c r="L598" i="1"/>
  <c r="O598" i="1" s="1"/>
  <c r="K306" i="2"/>
  <c r="K328" i="5"/>
  <c r="L316" i="1"/>
  <c r="I324" i="1"/>
  <c r="I511" i="1"/>
  <c r="K511" i="1" s="1"/>
  <c r="J215" i="1"/>
  <c r="P224" i="2"/>
  <c r="N356" i="1"/>
  <c r="L26" i="3"/>
  <c r="O61" i="3"/>
  <c r="P144" i="3"/>
  <c r="M142" i="3"/>
  <c r="O537" i="4"/>
  <c r="L34" i="4"/>
  <c r="J134" i="1"/>
  <c r="K213" i="5"/>
  <c r="I289" i="1"/>
  <c r="N22" i="2"/>
  <c r="O126" i="2"/>
  <c r="J231" i="1"/>
  <c r="M333" i="1"/>
  <c r="J474" i="1"/>
  <c r="P45" i="2"/>
  <c r="L24" i="2"/>
  <c r="O24" i="2" s="1"/>
  <c r="L26" i="2"/>
  <c r="L16" i="2" s="1"/>
  <c r="K117" i="2"/>
  <c r="K216" i="2"/>
  <c r="N252" i="2"/>
  <c r="N250" i="2" s="1"/>
  <c r="J325" i="1"/>
  <c r="O385" i="4"/>
  <c r="N34" i="4"/>
  <c r="N14" i="4" s="1"/>
  <c r="I492" i="1"/>
  <c r="K492" i="1" s="1"/>
  <c r="L23" i="2"/>
  <c r="O23" i="2" s="1"/>
  <c r="M102" i="2"/>
  <c r="M26" i="2" s="1"/>
  <c r="N96" i="4"/>
  <c r="N94" i="4" s="1"/>
  <c r="N26" i="4"/>
  <c r="N16" i="4" s="1"/>
  <c r="J324" i="1"/>
  <c r="I350" i="1"/>
  <c r="K376" i="2"/>
  <c r="K421" i="2"/>
  <c r="K449" i="2"/>
  <c r="K464" i="2"/>
  <c r="K564" i="2"/>
  <c r="I589" i="1"/>
  <c r="K620" i="2"/>
  <c r="K623" i="2"/>
  <c r="N22" i="3"/>
  <c r="P57" i="3"/>
  <c r="M94" i="3"/>
  <c r="P94" i="3" s="1"/>
  <c r="P122" i="3"/>
  <c r="P254" i="3"/>
  <c r="O401" i="3"/>
  <c r="N34" i="3"/>
  <c r="N14" i="3" s="1"/>
  <c r="K481" i="3"/>
  <c r="K615" i="3"/>
  <c r="O49" i="4"/>
  <c r="N292" i="4"/>
  <c r="N290" i="4" s="1"/>
  <c r="O380" i="4"/>
  <c r="K497" i="4"/>
  <c r="O580" i="4"/>
  <c r="N43" i="5"/>
  <c r="N41" i="5" s="1"/>
  <c r="K270" i="5"/>
  <c r="L333" i="5"/>
  <c r="O333" i="5" s="1"/>
  <c r="O354" i="5"/>
  <c r="N32" i="5"/>
  <c r="N30" i="5" s="1"/>
  <c r="N34" i="5"/>
  <c r="N14" i="5" s="1"/>
  <c r="M120" i="7"/>
  <c r="P120" i="7" s="1"/>
  <c r="P122" i="7"/>
  <c r="M22" i="7"/>
  <c r="M12" i="7" s="1"/>
  <c r="P254" i="7"/>
  <c r="M252" i="7"/>
  <c r="P252" i="7" s="1"/>
  <c r="K618" i="7"/>
  <c r="K619" i="7"/>
  <c r="K612" i="7"/>
  <c r="K611" i="7"/>
  <c r="K616" i="7"/>
  <c r="P45" i="8"/>
  <c r="M43" i="8"/>
  <c r="M41" i="8" s="1"/>
  <c r="I428" i="1"/>
  <c r="N456" i="1"/>
  <c r="J488" i="1"/>
  <c r="J576" i="1"/>
  <c r="I579" i="1"/>
  <c r="K579" i="1" s="1"/>
  <c r="J613" i="1"/>
  <c r="K626" i="2"/>
  <c r="L24" i="3"/>
  <c r="O24" i="3" s="1"/>
  <c r="J115" i="1"/>
  <c r="K219" i="3"/>
  <c r="J371" i="1"/>
  <c r="J423" i="1"/>
  <c r="K427" i="3"/>
  <c r="O437" i="3"/>
  <c r="O597" i="3"/>
  <c r="K612" i="3"/>
  <c r="K619" i="3"/>
  <c r="N120" i="4"/>
  <c r="N118" i="4" s="1"/>
  <c r="L144" i="4"/>
  <c r="O144" i="4" s="1"/>
  <c r="K219" i="4"/>
  <c r="J229" i="1"/>
  <c r="K265" i="4"/>
  <c r="N312" i="4"/>
  <c r="N310" i="4" s="1"/>
  <c r="O337" i="4"/>
  <c r="K417" i="4"/>
  <c r="K424" i="4"/>
  <c r="O457" i="4"/>
  <c r="K473" i="4"/>
  <c r="O584" i="4"/>
  <c r="O599" i="4"/>
  <c r="K631" i="4"/>
  <c r="K117" i="5"/>
  <c r="K133" i="5"/>
  <c r="P254" i="5"/>
  <c r="O383" i="5"/>
  <c r="K425" i="5"/>
  <c r="K450" i="5"/>
  <c r="P254" i="6"/>
  <c r="M252" i="6"/>
  <c r="M250" i="6" s="1"/>
  <c r="N331" i="6"/>
  <c r="N329" i="6" s="1"/>
  <c r="P333" i="6"/>
  <c r="N33" i="8"/>
  <c r="N13" i="8" s="1"/>
  <c r="O537" i="9"/>
  <c r="N34" i="9"/>
  <c r="N14" i="9" s="1"/>
  <c r="I367" i="2"/>
  <c r="K367" i="2" s="1"/>
  <c r="K401" i="2"/>
  <c r="J428" i="1"/>
  <c r="J454" i="1"/>
  <c r="J491" i="1"/>
  <c r="J518" i="1"/>
  <c r="J522" i="1"/>
  <c r="J526" i="1"/>
  <c r="J530" i="1"/>
  <c r="L533" i="1"/>
  <c r="L536" i="1"/>
  <c r="O536" i="1" s="1"/>
  <c r="N33" i="2"/>
  <c r="N13" i="2" s="1"/>
  <c r="L102" i="1"/>
  <c r="K345" i="3"/>
  <c r="O385" i="3"/>
  <c r="J393" i="1"/>
  <c r="K402" i="3"/>
  <c r="K435" i="3"/>
  <c r="K466" i="3"/>
  <c r="K482" i="3"/>
  <c r="K498" i="3"/>
  <c r="K633" i="3"/>
  <c r="O102" i="4"/>
  <c r="K173" i="4"/>
  <c r="K204" i="4"/>
  <c r="K215" i="4"/>
  <c r="N224" i="1"/>
  <c r="K370" i="4"/>
  <c r="K428" i="4"/>
  <c r="O435" i="4"/>
  <c r="O533" i="4"/>
  <c r="K616" i="4"/>
  <c r="K628" i="4"/>
  <c r="N96" i="5"/>
  <c r="N94" i="5" s="1"/>
  <c r="O102" i="5"/>
  <c r="K109" i="5"/>
  <c r="K289" i="5"/>
  <c r="P294" i="5"/>
  <c r="J301" i="1"/>
  <c r="O380" i="5"/>
  <c r="K401" i="5"/>
  <c r="K429" i="5"/>
  <c r="N34" i="8"/>
  <c r="N14" i="8" s="1"/>
  <c r="O385" i="8"/>
  <c r="O404" i="2"/>
  <c r="I423" i="1"/>
  <c r="K429" i="2"/>
  <c r="J446" i="1"/>
  <c r="N26" i="3"/>
  <c r="N16" i="3" s="1"/>
  <c r="N120" i="3"/>
  <c r="N118" i="3" s="1"/>
  <c r="N142" i="3"/>
  <c r="N140" i="3" s="1"/>
  <c r="P275" i="3"/>
  <c r="K418" i="3"/>
  <c r="K473" i="3"/>
  <c r="O533" i="3"/>
  <c r="O568" i="3"/>
  <c r="J630" i="1"/>
  <c r="P57" i="4"/>
  <c r="J189" i="1"/>
  <c r="K200" i="4"/>
  <c r="P254" i="4"/>
  <c r="K418" i="4"/>
  <c r="O439" i="4"/>
  <c r="O455" i="4"/>
  <c r="K499" i="4"/>
  <c r="O597" i="4"/>
  <c r="P122" i="5"/>
  <c r="M142" i="5"/>
  <c r="N312" i="5"/>
  <c r="N310" i="5" s="1"/>
  <c r="K370" i="5"/>
  <c r="O439" i="5"/>
  <c r="O566" i="5"/>
  <c r="I478" i="1"/>
  <c r="K478" i="1" s="1"/>
  <c r="J88" i="1"/>
  <c r="J93" i="1"/>
  <c r="J156" i="1"/>
  <c r="J162" i="1"/>
  <c r="J172" i="1"/>
  <c r="N292" i="3"/>
  <c r="N290" i="3" s="1"/>
  <c r="O380" i="3"/>
  <c r="I621" i="1"/>
  <c r="I624" i="1"/>
  <c r="K631" i="3"/>
  <c r="K110" i="4"/>
  <c r="K158" i="4"/>
  <c r="K185" i="4"/>
  <c r="K285" i="4"/>
  <c r="K340" i="4"/>
  <c r="K343" i="4"/>
  <c r="O347" i="4"/>
  <c r="K375" i="4"/>
  <c r="K380" i="4"/>
  <c r="K396" i="4"/>
  <c r="O459" i="4"/>
  <c r="N31" i="4"/>
  <c r="N29" i="4" s="1"/>
  <c r="K547" i="4"/>
  <c r="K595" i="4"/>
  <c r="O601" i="4"/>
  <c r="N142" i="5"/>
  <c r="N140" i="5" s="1"/>
  <c r="K204" i="5"/>
  <c r="K215" i="5"/>
  <c r="N252" i="5"/>
  <c r="N250" i="5" s="1"/>
  <c r="K304" i="5"/>
  <c r="L314" i="5"/>
  <c r="O314" i="5" s="1"/>
  <c r="K340" i="5"/>
  <c r="K464" i="5"/>
  <c r="O537" i="5"/>
  <c r="N31" i="7"/>
  <c r="N29" i="7" s="1"/>
  <c r="J412" i="1"/>
  <c r="L32" i="2"/>
  <c r="N556" i="1"/>
  <c r="J561" i="1"/>
  <c r="K625" i="2"/>
  <c r="K632" i="2"/>
  <c r="N68" i="3"/>
  <c r="J82" i="1"/>
  <c r="L146" i="1"/>
  <c r="J211" i="1"/>
  <c r="J234" i="1"/>
  <c r="J285" i="1"/>
  <c r="N331" i="3"/>
  <c r="N329" i="3" s="1"/>
  <c r="N537" i="1"/>
  <c r="N32" i="3"/>
  <c r="N30" i="3" s="1"/>
  <c r="N565" i="1"/>
  <c r="N569" i="1"/>
  <c r="J590" i="1"/>
  <c r="J618" i="1"/>
  <c r="J263" i="1"/>
  <c r="J513" i="1"/>
  <c r="J577" i="1"/>
  <c r="J374" i="1"/>
  <c r="N405" i="1"/>
  <c r="N410" i="1"/>
  <c r="N440" i="1"/>
  <c r="K449" i="5"/>
  <c r="M273" i="6"/>
  <c r="M271" i="6" s="1"/>
  <c r="P275" i="6"/>
  <c r="J380" i="1"/>
  <c r="I467" i="1"/>
  <c r="K467" i="1" s="1"/>
  <c r="I470" i="1"/>
  <c r="K470" i="1" s="1"/>
  <c r="I502" i="1"/>
  <c r="K502" i="1" s="1"/>
  <c r="N583" i="1"/>
  <c r="M22" i="3"/>
  <c r="M12" i="3" s="1"/>
  <c r="J79" i="1"/>
  <c r="P98" i="3"/>
  <c r="L148" i="1"/>
  <c r="O148" i="1" s="1"/>
  <c r="N222" i="3"/>
  <c r="N220" i="3" s="1"/>
  <c r="L279" i="1"/>
  <c r="O279" i="1" s="1"/>
  <c r="L314" i="3"/>
  <c r="L312" i="3" s="1"/>
  <c r="L333" i="3"/>
  <c r="O333" i="3" s="1"/>
  <c r="K381" i="3"/>
  <c r="K426" i="3"/>
  <c r="N557" i="1"/>
  <c r="O566" i="3"/>
  <c r="N581" i="1"/>
  <c r="K597" i="3"/>
  <c r="K621" i="3"/>
  <c r="K624" i="3"/>
  <c r="L256" i="1"/>
  <c r="J493" i="1"/>
  <c r="O535" i="4"/>
  <c r="O564" i="4"/>
  <c r="K149" i="5"/>
  <c r="K324" i="5"/>
  <c r="J398" i="1"/>
  <c r="N31" i="6"/>
  <c r="N29" i="6" s="1"/>
  <c r="O49" i="7"/>
  <c r="N55" i="9"/>
  <c r="N53" i="9" s="1"/>
  <c r="O566" i="9"/>
  <c r="K631" i="5"/>
  <c r="K635" i="5"/>
  <c r="L57" i="6"/>
  <c r="L55" i="6" s="1"/>
  <c r="K81" i="6"/>
  <c r="K270" i="6"/>
  <c r="L294" i="6"/>
  <c r="N312" i="6"/>
  <c r="N310" i="6" s="1"/>
  <c r="K402" i="6"/>
  <c r="K424" i="6"/>
  <c r="K533" i="6"/>
  <c r="K621" i="6"/>
  <c r="M49" i="7"/>
  <c r="M26" i="7" s="1"/>
  <c r="P57" i="7"/>
  <c r="N312" i="7"/>
  <c r="N310" i="7" s="1"/>
  <c r="K420" i="7"/>
  <c r="M142" i="8"/>
  <c r="M140" i="8" s="1"/>
  <c r="K270" i="8"/>
  <c r="P70" i="9"/>
  <c r="L224" i="9"/>
  <c r="K401" i="9"/>
  <c r="K613" i="9"/>
  <c r="K619" i="9"/>
  <c r="K611" i="9"/>
  <c r="M140" i="10"/>
  <c r="K266" i="6"/>
  <c r="K343" i="6"/>
  <c r="O597" i="6"/>
  <c r="K612" i="6"/>
  <c r="K619" i="6"/>
  <c r="K380" i="8"/>
  <c r="L45" i="9"/>
  <c r="L43" i="9" s="1"/>
  <c r="P57" i="9"/>
  <c r="L275" i="9"/>
  <c r="O275" i="9" s="1"/>
  <c r="K138" i="10"/>
  <c r="N32" i="11"/>
  <c r="N30" i="11" s="1"/>
  <c r="K621" i="5"/>
  <c r="L333" i="6"/>
  <c r="L331" i="6" s="1"/>
  <c r="L329" i="6" s="1"/>
  <c r="O347" i="6"/>
  <c r="N33" i="6"/>
  <c r="N13" i="6" s="1"/>
  <c r="K401" i="6"/>
  <c r="O435" i="6"/>
  <c r="O601" i="6"/>
  <c r="P144" i="7"/>
  <c r="K229" i="7"/>
  <c r="K424" i="7"/>
  <c r="K624" i="7"/>
  <c r="L24" i="9"/>
  <c r="O24" i="9" s="1"/>
  <c r="K625" i="5"/>
  <c r="N53" i="7"/>
  <c r="N142" i="7"/>
  <c r="N140" i="7" s="1"/>
  <c r="K428" i="7"/>
  <c r="K621" i="7"/>
  <c r="L45" i="8"/>
  <c r="O45" i="8" s="1"/>
  <c r="M337" i="8"/>
  <c r="M331" i="8" s="1"/>
  <c r="M329" i="8" s="1"/>
  <c r="L57" i="11"/>
  <c r="L55" i="11" s="1"/>
  <c r="L23" i="11"/>
  <c r="O23" i="11" s="1"/>
  <c r="O534" i="12"/>
  <c r="L31" i="12"/>
  <c r="L29" i="12" s="1"/>
  <c r="P144" i="6"/>
  <c r="K381" i="6"/>
  <c r="K618" i="6"/>
  <c r="K620" i="6"/>
  <c r="N26" i="7"/>
  <c r="N16" i="7" s="1"/>
  <c r="L333" i="7"/>
  <c r="O347" i="7"/>
  <c r="K498" i="7"/>
  <c r="N96" i="8"/>
  <c r="N94" i="8" s="1"/>
  <c r="N26" i="9"/>
  <c r="N16" i="9" s="1"/>
  <c r="M41" i="11"/>
  <c r="L31" i="11"/>
  <c r="O31" i="11" s="1"/>
  <c r="O382" i="11"/>
  <c r="K368" i="6"/>
  <c r="K420" i="6"/>
  <c r="O455" i="6"/>
  <c r="K474" i="6"/>
  <c r="N34" i="6"/>
  <c r="N14" i="6" s="1"/>
  <c r="O566" i="6"/>
  <c r="K635" i="6"/>
  <c r="L144" i="7"/>
  <c r="K397" i="7"/>
  <c r="K419" i="7"/>
  <c r="O435" i="7"/>
  <c r="O597" i="7"/>
  <c r="N292" i="8"/>
  <c r="N290" i="8" s="1"/>
  <c r="N312" i="8"/>
  <c r="N310" i="8" s="1"/>
  <c r="K368" i="8"/>
  <c r="K381" i="8"/>
  <c r="K397" i="8"/>
  <c r="K620" i="8"/>
  <c r="K623" i="8"/>
  <c r="K626" i="8"/>
  <c r="K173" i="9"/>
  <c r="K429" i="9"/>
  <c r="L34" i="10"/>
  <c r="N34" i="11"/>
  <c r="N14" i="11" s="1"/>
  <c r="M312" i="15"/>
  <c r="P312" i="15" s="1"/>
  <c r="P314" i="15"/>
  <c r="L33" i="22"/>
  <c r="O33" i="22" s="1"/>
  <c r="O353" i="22"/>
  <c r="L122" i="9"/>
  <c r="O122" i="9" s="1"/>
  <c r="N31" i="9"/>
  <c r="N29" i="9" s="1"/>
  <c r="K428" i="9"/>
  <c r="O601" i="9"/>
  <c r="P122" i="10"/>
  <c r="N31" i="10"/>
  <c r="N29" i="10" s="1"/>
  <c r="K381" i="10"/>
  <c r="O404" i="10"/>
  <c r="K416" i="10"/>
  <c r="K430" i="10"/>
  <c r="K621" i="10"/>
  <c r="M68" i="11"/>
  <c r="P275" i="11"/>
  <c r="P314" i="11"/>
  <c r="K481" i="11"/>
  <c r="K614" i="11"/>
  <c r="M43" i="12"/>
  <c r="O537" i="12"/>
  <c r="P337" i="15"/>
  <c r="M26" i="15"/>
  <c r="M16" i="15" s="1"/>
  <c r="L314" i="11"/>
  <c r="O314" i="11" s="1"/>
  <c r="K398" i="11"/>
  <c r="K622" i="12"/>
  <c r="K624" i="12"/>
  <c r="K621" i="12"/>
  <c r="K626" i="12"/>
  <c r="K623" i="12"/>
  <c r="K620" i="12"/>
  <c r="N22" i="13"/>
  <c r="N68" i="13"/>
  <c r="N66" i="13" s="1"/>
  <c r="L32" i="17"/>
  <c r="O599" i="17"/>
  <c r="L314" i="9"/>
  <c r="L312" i="9" s="1"/>
  <c r="L333" i="9"/>
  <c r="K430" i="9"/>
  <c r="O439" i="9"/>
  <c r="O535" i="9"/>
  <c r="O599" i="9"/>
  <c r="N96" i="10"/>
  <c r="N94" i="10" s="1"/>
  <c r="K164" i="10"/>
  <c r="K189" i="10"/>
  <c r="K204" i="10"/>
  <c r="K375" i="10"/>
  <c r="K402" i="10"/>
  <c r="K421" i="10"/>
  <c r="K424" i="10"/>
  <c r="K450" i="10"/>
  <c r="O568" i="10"/>
  <c r="N32" i="10"/>
  <c r="N30" i="10" s="1"/>
  <c r="K424" i="11"/>
  <c r="O455" i="11"/>
  <c r="K533" i="11"/>
  <c r="K564" i="11"/>
  <c r="P70" i="12"/>
  <c r="M68" i="12"/>
  <c r="P68" i="12" s="1"/>
  <c r="N26" i="13"/>
  <c r="N16" i="13" s="1"/>
  <c r="N32" i="14"/>
  <c r="N30" i="14" s="1"/>
  <c r="K625" i="15"/>
  <c r="K624" i="15"/>
  <c r="K620" i="15"/>
  <c r="K626" i="15"/>
  <c r="K449" i="9"/>
  <c r="O564" i="9"/>
  <c r="L24" i="10"/>
  <c r="O24" i="10" s="1"/>
  <c r="K270" i="10"/>
  <c r="K372" i="10"/>
  <c r="K418" i="10"/>
  <c r="N312" i="11"/>
  <c r="N310" i="11" s="1"/>
  <c r="O337" i="11"/>
  <c r="K341" i="11"/>
  <c r="O439" i="11"/>
  <c r="O49" i="15"/>
  <c r="L26" i="15"/>
  <c r="L16" i="15" s="1"/>
  <c r="M331" i="15"/>
  <c r="P333" i="15"/>
  <c r="P144" i="9"/>
  <c r="K189" i="9"/>
  <c r="K200" i="9"/>
  <c r="K216" i="10"/>
  <c r="L32" i="10"/>
  <c r="L30" i="10" s="1"/>
  <c r="K422" i="10"/>
  <c r="L70" i="11"/>
  <c r="K164" i="11"/>
  <c r="K613" i="11"/>
  <c r="I367" i="14"/>
  <c r="K367" i="14" s="1"/>
  <c r="N142" i="9"/>
  <c r="N140" i="9" s="1"/>
  <c r="N312" i="9"/>
  <c r="N310" i="9" s="1"/>
  <c r="K450" i="9"/>
  <c r="P144" i="10"/>
  <c r="N222" i="10"/>
  <c r="N220" i="10" s="1"/>
  <c r="L275" i="10"/>
  <c r="L273" i="10" s="1"/>
  <c r="L271" i="10" s="1"/>
  <c r="N331" i="10"/>
  <c r="N329" i="10" s="1"/>
  <c r="N33" i="10"/>
  <c r="N13" i="10" s="1"/>
  <c r="K370" i="10"/>
  <c r="K419" i="10"/>
  <c r="K429" i="10"/>
  <c r="K432" i="10"/>
  <c r="K629" i="10"/>
  <c r="K632" i="10"/>
  <c r="L24" i="11"/>
  <c r="K158" i="11"/>
  <c r="K416" i="11"/>
  <c r="K422" i="11"/>
  <c r="O437" i="11"/>
  <c r="K629" i="11"/>
  <c r="L45" i="12"/>
  <c r="K625" i="12"/>
  <c r="L26" i="12"/>
  <c r="L16" i="12" s="1"/>
  <c r="M292" i="12"/>
  <c r="M290" i="12" s="1"/>
  <c r="P290" i="12" s="1"/>
  <c r="O352" i="12"/>
  <c r="K422" i="12"/>
  <c r="K425" i="12"/>
  <c r="K432" i="12"/>
  <c r="K497" i="12"/>
  <c r="K547" i="12"/>
  <c r="K580" i="12"/>
  <c r="O597" i="12"/>
  <c r="L70" i="13"/>
  <c r="L68" i="13" s="1"/>
  <c r="K86" i="13"/>
  <c r="K421" i="13"/>
  <c r="K435" i="13"/>
  <c r="K547" i="13"/>
  <c r="N34" i="14"/>
  <c r="N14" i="14" s="1"/>
  <c r="N26" i="15"/>
  <c r="N16" i="15" s="1"/>
  <c r="M55" i="16"/>
  <c r="P57" i="16"/>
  <c r="P70" i="17"/>
  <c r="M68" i="17"/>
  <c r="K624" i="17"/>
  <c r="K620" i="17"/>
  <c r="M252" i="18"/>
  <c r="P252" i="18" s="1"/>
  <c r="P254" i="18"/>
  <c r="M273" i="21"/>
  <c r="M271" i="21" s="1"/>
  <c r="P275" i="21"/>
  <c r="O436" i="21"/>
  <c r="L31" i="21"/>
  <c r="L11" i="21" s="1"/>
  <c r="K216" i="12"/>
  <c r="K380" i="12"/>
  <c r="O601" i="12"/>
  <c r="M96" i="13"/>
  <c r="P96" i="13" s="1"/>
  <c r="K149" i="13"/>
  <c r="N32" i="13"/>
  <c r="N30" i="13" s="1"/>
  <c r="O601" i="13"/>
  <c r="K619" i="13"/>
  <c r="M55" i="14"/>
  <c r="M53" i="14" s="1"/>
  <c r="K173" i="14"/>
  <c r="K229" i="14"/>
  <c r="K341" i="14"/>
  <c r="K345" i="14"/>
  <c r="K380" i="14"/>
  <c r="K422" i="14"/>
  <c r="O439" i="14"/>
  <c r="K464" i="14"/>
  <c r="K481" i="14"/>
  <c r="O533" i="14"/>
  <c r="N120" i="12"/>
  <c r="N118" i="12" s="1"/>
  <c r="O228" i="12"/>
  <c r="K235" i="12"/>
  <c r="N33" i="12"/>
  <c r="N13" i="12" s="1"/>
  <c r="K419" i="12"/>
  <c r="K617" i="12"/>
  <c r="O406" i="13"/>
  <c r="K343" i="15"/>
  <c r="O584" i="17"/>
  <c r="L34" i="17"/>
  <c r="N312" i="18"/>
  <c r="N310" i="18" s="1"/>
  <c r="P314" i="18"/>
  <c r="O553" i="19"/>
  <c r="L32" i="19"/>
  <c r="L30" i="19" s="1"/>
  <c r="K397" i="12"/>
  <c r="K430" i="12"/>
  <c r="K473" i="12"/>
  <c r="K533" i="12"/>
  <c r="K81" i="13"/>
  <c r="N120" i="13"/>
  <c r="N118" i="13" s="1"/>
  <c r="N331" i="13"/>
  <c r="N329" i="13" s="1"/>
  <c r="N55" i="14"/>
  <c r="N53" i="14" s="1"/>
  <c r="L98" i="14"/>
  <c r="O380" i="14"/>
  <c r="K423" i="14"/>
  <c r="K465" i="14"/>
  <c r="K622" i="14"/>
  <c r="N43" i="15"/>
  <c r="N41" i="15" s="1"/>
  <c r="N96" i="15"/>
  <c r="N94" i="15" s="1"/>
  <c r="M120" i="15"/>
  <c r="P120" i="15" s="1"/>
  <c r="N222" i="15"/>
  <c r="N220" i="15" s="1"/>
  <c r="K270" i="15"/>
  <c r="P275" i="15"/>
  <c r="N292" i="15"/>
  <c r="N290" i="15" s="1"/>
  <c r="L333" i="15"/>
  <c r="L331" i="15" s="1"/>
  <c r="N273" i="16"/>
  <c r="N271" i="16" s="1"/>
  <c r="O61" i="18"/>
  <c r="L26" i="18"/>
  <c r="L16" i="18" s="1"/>
  <c r="M96" i="18"/>
  <c r="P98" i="18"/>
  <c r="K189" i="12"/>
  <c r="N331" i="12"/>
  <c r="N329" i="12" s="1"/>
  <c r="N273" i="13"/>
  <c r="N271" i="13" s="1"/>
  <c r="O533" i="13"/>
  <c r="O599" i="13"/>
  <c r="K614" i="13"/>
  <c r="K617" i="13"/>
  <c r="K369" i="14"/>
  <c r="K616" i="14"/>
  <c r="K619" i="14"/>
  <c r="N273" i="15"/>
  <c r="N271" i="15" s="1"/>
  <c r="P224" i="18"/>
  <c r="M222" i="18"/>
  <c r="M96" i="12"/>
  <c r="M94" i="12" s="1"/>
  <c r="K427" i="12"/>
  <c r="O437" i="12"/>
  <c r="K474" i="12"/>
  <c r="L57" i="14"/>
  <c r="O57" i="14" s="1"/>
  <c r="K417" i="14"/>
  <c r="K435" i="14"/>
  <c r="M22" i="15"/>
  <c r="M12" i="15" s="1"/>
  <c r="K249" i="15"/>
  <c r="K266" i="15"/>
  <c r="L275" i="15"/>
  <c r="L273" i="15" s="1"/>
  <c r="L271" i="15" s="1"/>
  <c r="K345" i="15"/>
  <c r="M22" i="16"/>
  <c r="M12" i="16" s="1"/>
  <c r="K149" i="12"/>
  <c r="N252" i="12"/>
  <c r="N250" i="12" s="1"/>
  <c r="P250" i="12" s="1"/>
  <c r="K266" i="12"/>
  <c r="L294" i="12"/>
  <c r="L292" i="12" s="1"/>
  <c r="O292" i="12" s="1"/>
  <c r="K349" i="12"/>
  <c r="K421" i="12"/>
  <c r="K450" i="12"/>
  <c r="O582" i="12"/>
  <c r="K591" i="12"/>
  <c r="K619" i="12"/>
  <c r="K199" i="13"/>
  <c r="O437" i="13"/>
  <c r="K449" i="13"/>
  <c r="K625" i="13"/>
  <c r="K630" i="13"/>
  <c r="M96" i="14"/>
  <c r="P96" i="14" s="1"/>
  <c r="L122" i="14"/>
  <c r="O122" i="14" s="1"/>
  <c r="N331" i="14"/>
  <c r="N329" i="14" s="1"/>
  <c r="K343" i="14"/>
  <c r="O347" i="14"/>
  <c r="K398" i="14"/>
  <c r="K431" i="14"/>
  <c r="O457" i="14"/>
  <c r="K473" i="14"/>
  <c r="O568" i="14"/>
  <c r="K614" i="14"/>
  <c r="K635" i="14"/>
  <c r="L98" i="15"/>
  <c r="O98" i="15" s="1"/>
  <c r="N120" i="15"/>
  <c r="N118" i="15" s="1"/>
  <c r="K138" i="15"/>
  <c r="K235" i="15"/>
  <c r="K285" i="15"/>
  <c r="O337" i="15"/>
  <c r="M292" i="16"/>
  <c r="P292" i="16" s="1"/>
  <c r="P294" i="16"/>
  <c r="N31" i="17"/>
  <c r="K416" i="17"/>
  <c r="K619" i="17"/>
  <c r="K616" i="17"/>
  <c r="K612" i="17"/>
  <c r="K618" i="17"/>
  <c r="K611" i="17"/>
  <c r="K617" i="17"/>
  <c r="K626" i="17"/>
  <c r="K426" i="15"/>
  <c r="K464" i="15"/>
  <c r="K499" i="15"/>
  <c r="K92" i="16"/>
  <c r="K229" i="16"/>
  <c r="K381" i="16"/>
  <c r="O401" i="16"/>
  <c r="K449" i="16"/>
  <c r="K497" i="16"/>
  <c r="K626" i="16"/>
  <c r="K84" i="17"/>
  <c r="K427" i="17"/>
  <c r="K614" i="17"/>
  <c r="P122" i="18"/>
  <c r="N33" i="18"/>
  <c r="N13" i="18" s="1"/>
  <c r="K455" i="18"/>
  <c r="K629" i="18"/>
  <c r="L45" i="19"/>
  <c r="O45" i="19" s="1"/>
  <c r="K93" i="19"/>
  <c r="K133" i="19"/>
  <c r="O351" i="20"/>
  <c r="L31" i="20"/>
  <c r="L29" i="20" s="1"/>
  <c r="K419" i="15"/>
  <c r="K482" i="15"/>
  <c r="N31" i="15"/>
  <c r="N11" i="15" s="1"/>
  <c r="N9" i="15" s="1"/>
  <c r="K613" i="15"/>
  <c r="K617" i="15"/>
  <c r="K340" i="16"/>
  <c r="K435" i="16"/>
  <c r="K628" i="16"/>
  <c r="L70" i="17"/>
  <c r="L68" i="17" s="1"/>
  <c r="L66" i="17" s="1"/>
  <c r="K85" i="17"/>
  <c r="K158" i="17"/>
  <c r="O349" i="17"/>
  <c r="K370" i="17"/>
  <c r="K417" i="17"/>
  <c r="K428" i="17"/>
  <c r="K455" i="17"/>
  <c r="K497" i="17"/>
  <c r="O533" i="17"/>
  <c r="K597" i="17"/>
  <c r="K628" i="17"/>
  <c r="K186" i="18"/>
  <c r="L314" i="18"/>
  <c r="L312" i="18" s="1"/>
  <c r="O458" i="20"/>
  <c r="L33" i="20"/>
  <c r="O33" i="20" s="1"/>
  <c r="L57" i="22"/>
  <c r="O566" i="15"/>
  <c r="K611" i="15"/>
  <c r="K614" i="15"/>
  <c r="N142" i="16"/>
  <c r="N140" i="16" s="1"/>
  <c r="P98" i="17"/>
  <c r="N33" i="17"/>
  <c r="N13" i="17" s="1"/>
  <c r="N22" i="18"/>
  <c r="P275" i="18"/>
  <c r="K117" i="19"/>
  <c r="P122" i="19"/>
  <c r="K420" i="15"/>
  <c r="L34" i="15"/>
  <c r="P275" i="16"/>
  <c r="L24" i="16"/>
  <c r="O24" i="16" s="1"/>
  <c r="K341" i="16"/>
  <c r="K402" i="16"/>
  <c r="K418" i="16"/>
  <c r="K498" i="16"/>
  <c r="K632" i="16"/>
  <c r="K149" i="17"/>
  <c r="K249" i="17"/>
  <c r="K270" i="17"/>
  <c r="P275" i="17"/>
  <c r="L294" i="17"/>
  <c r="O294" i="17" s="1"/>
  <c r="K328" i="17"/>
  <c r="P333" i="17"/>
  <c r="K343" i="17"/>
  <c r="K381" i="17"/>
  <c r="O455" i="17"/>
  <c r="K466" i="17"/>
  <c r="K213" i="18"/>
  <c r="L254" i="18"/>
  <c r="L252" i="18" s="1"/>
  <c r="L250" i="18" s="1"/>
  <c r="O250" i="18" s="1"/>
  <c r="K401" i="18"/>
  <c r="K449" i="18"/>
  <c r="N120" i="19"/>
  <c r="O554" i="21"/>
  <c r="L33" i="21"/>
  <c r="O33" i="21" s="1"/>
  <c r="L70" i="22"/>
  <c r="L68" i="22" s="1"/>
  <c r="K428" i="15"/>
  <c r="K497" i="15"/>
  <c r="K564" i="15"/>
  <c r="K615" i="15"/>
  <c r="K618" i="15"/>
  <c r="P45" i="16"/>
  <c r="N33" i="16"/>
  <c r="N13" i="16" s="1"/>
  <c r="N43" i="17"/>
  <c r="N331" i="17"/>
  <c r="N329" i="17" s="1"/>
  <c r="K573" i="17"/>
  <c r="P57" i="18"/>
  <c r="O404" i="18"/>
  <c r="K430" i="18"/>
  <c r="L122" i="19"/>
  <c r="O122" i="19" s="1"/>
  <c r="O404" i="15"/>
  <c r="K473" i="15"/>
  <c r="K612" i="15"/>
  <c r="L144" i="16"/>
  <c r="K235" i="16"/>
  <c r="K285" i="16"/>
  <c r="K429" i="16"/>
  <c r="K621" i="16"/>
  <c r="N142" i="17"/>
  <c r="N140" i="17" s="1"/>
  <c r="L275" i="17"/>
  <c r="K285" i="17"/>
  <c r="O347" i="17"/>
  <c r="K368" i="17"/>
  <c r="K380" i="17"/>
  <c r="K402" i="17"/>
  <c r="K430" i="17"/>
  <c r="L57" i="18"/>
  <c r="K82" i="18"/>
  <c r="N32" i="18"/>
  <c r="N30" i="18" s="1"/>
  <c r="K573" i="18"/>
  <c r="K589" i="18"/>
  <c r="L26" i="19"/>
  <c r="L16" i="19" s="1"/>
  <c r="N43" i="19"/>
  <c r="P45" i="22"/>
  <c r="M43" i="22"/>
  <c r="O126" i="22"/>
  <c r="K421" i="15"/>
  <c r="O457" i="15"/>
  <c r="K498" i="15"/>
  <c r="O568" i="15"/>
  <c r="K619" i="15"/>
  <c r="K110" i="16"/>
  <c r="L122" i="16"/>
  <c r="L120" i="16" s="1"/>
  <c r="O120" i="16" s="1"/>
  <c r="M252" i="16"/>
  <c r="M250" i="16" s="1"/>
  <c r="P250" i="16" s="1"/>
  <c r="K345" i="16"/>
  <c r="K426" i="16"/>
  <c r="K618" i="16"/>
  <c r="N26" i="17"/>
  <c r="L122" i="17"/>
  <c r="K132" i="17"/>
  <c r="L144" i="17"/>
  <c r="O144" i="17" s="1"/>
  <c r="K229" i="17"/>
  <c r="P254" i="17"/>
  <c r="K341" i="17"/>
  <c r="K372" i="17"/>
  <c r="K376" i="17"/>
  <c r="K423" i="17"/>
  <c r="K435" i="17"/>
  <c r="K449" i="17"/>
  <c r="O459" i="17"/>
  <c r="K482" i="17"/>
  <c r="K499" i="17"/>
  <c r="O568" i="17"/>
  <c r="K634" i="17"/>
  <c r="K149" i="18"/>
  <c r="K200" i="18"/>
  <c r="N292" i="18"/>
  <c r="N290" i="18" s="1"/>
  <c r="K309" i="18"/>
  <c r="K417" i="18"/>
  <c r="K435" i="18"/>
  <c r="K533" i="18"/>
  <c r="O584" i="18"/>
  <c r="K628" i="18"/>
  <c r="K635" i="18"/>
  <c r="M68" i="19"/>
  <c r="P68" i="19" s="1"/>
  <c r="O380" i="19"/>
  <c r="K473" i="19"/>
  <c r="O599" i="20"/>
  <c r="O439" i="21"/>
  <c r="P294" i="19"/>
  <c r="L333" i="19"/>
  <c r="O333" i="19" s="1"/>
  <c r="K340" i="19"/>
  <c r="K350" i="19"/>
  <c r="K428" i="19"/>
  <c r="K432" i="19"/>
  <c r="K499" i="19"/>
  <c r="N26" i="20"/>
  <c r="N16" i="20" s="1"/>
  <c r="P144" i="20"/>
  <c r="K199" i="20"/>
  <c r="K235" i="20"/>
  <c r="N252" i="20"/>
  <c r="N250" i="20" s="1"/>
  <c r="L70" i="21"/>
  <c r="L68" i="21" s="1"/>
  <c r="K80" i="21"/>
  <c r="P122" i="21"/>
  <c r="K341" i="21"/>
  <c r="O404" i="21"/>
  <c r="K416" i="21"/>
  <c r="K615" i="21"/>
  <c r="K618" i="21"/>
  <c r="K621" i="21"/>
  <c r="O601" i="22"/>
  <c r="K624" i="22"/>
  <c r="K629" i="22"/>
  <c r="L144" i="19"/>
  <c r="O144" i="19" s="1"/>
  <c r="K229" i="19"/>
  <c r="K381" i="19"/>
  <c r="K429" i="19"/>
  <c r="K474" i="19"/>
  <c r="K580" i="19"/>
  <c r="O597" i="19"/>
  <c r="M68" i="20"/>
  <c r="P68" i="20" s="1"/>
  <c r="O406" i="20"/>
  <c r="K432" i="20"/>
  <c r="K615" i="20"/>
  <c r="K266" i="21"/>
  <c r="N331" i="21"/>
  <c r="N329" i="21" s="1"/>
  <c r="K591" i="21"/>
  <c r="K612" i="21"/>
  <c r="L45" i="22"/>
  <c r="L43" i="22" s="1"/>
  <c r="K350" i="22"/>
  <c r="O459" i="19"/>
  <c r="K626" i="19"/>
  <c r="P224" i="20"/>
  <c r="K612" i="20"/>
  <c r="K618" i="20"/>
  <c r="N32" i="21"/>
  <c r="N30" i="21" s="1"/>
  <c r="K630" i="22"/>
  <c r="K189" i="19"/>
  <c r="N222" i="19"/>
  <c r="N220" i="19" s="1"/>
  <c r="M337" i="19"/>
  <c r="P337" i="19" s="1"/>
  <c r="K349" i="19"/>
  <c r="O385" i="19"/>
  <c r="K423" i="19"/>
  <c r="K533" i="19"/>
  <c r="O564" i="19"/>
  <c r="K589" i="19"/>
  <c r="K631" i="19"/>
  <c r="L314" i="20"/>
  <c r="K416" i="20"/>
  <c r="K449" i="20"/>
  <c r="K564" i="20"/>
  <c r="K634" i="20"/>
  <c r="M94" i="21"/>
  <c r="P94" i="21" s="1"/>
  <c r="K235" i="21"/>
  <c r="L254" i="21"/>
  <c r="L252" i="21" s="1"/>
  <c r="L250" i="21" s="1"/>
  <c r="K264" i="21"/>
  <c r="L275" i="21"/>
  <c r="L273" i="21" s="1"/>
  <c r="K424" i="21"/>
  <c r="K616" i="21"/>
  <c r="K619" i="21"/>
  <c r="K626" i="21"/>
  <c r="N120" i="22"/>
  <c r="N118" i="22" s="1"/>
  <c r="O535" i="22"/>
  <c r="K597" i="22"/>
  <c r="K615" i="22"/>
  <c r="N331" i="19"/>
  <c r="N329" i="19" s="1"/>
  <c r="N31" i="19"/>
  <c r="N29" i="19" s="1"/>
  <c r="K435" i="19"/>
  <c r="N142" i="20"/>
  <c r="N140" i="20" s="1"/>
  <c r="K623" i="21"/>
  <c r="K533" i="22"/>
  <c r="K619" i="22"/>
  <c r="K631" i="22"/>
  <c r="K158" i="19"/>
  <c r="K270" i="19"/>
  <c r="K402" i="19"/>
  <c r="K498" i="19"/>
  <c r="O537" i="19"/>
  <c r="K593" i="19"/>
  <c r="K621" i="19"/>
  <c r="K624" i="19"/>
  <c r="P275" i="20"/>
  <c r="K189" i="21"/>
  <c r="K340" i="21"/>
  <c r="K635" i="21"/>
  <c r="M331" i="22"/>
  <c r="M329" i="22" s="1"/>
  <c r="K435" i="22"/>
  <c r="K623" i="22"/>
  <c r="K201" i="19"/>
  <c r="K249" i="19"/>
  <c r="K266" i="19"/>
  <c r="P333" i="19"/>
  <c r="O383" i="19"/>
  <c r="K421" i="19"/>
  <c r="O435" i="19"/>
  <c r="O566" i="19"/>
  <c r="L275" i="20"/>
  <c r="L273" i="20" s="1"/>
  <c r="O273" i="20" s="1"/>
  <c r="N292" i="20"/>
  <c r="N290" i="20" s="1"/>
  <c r="K424" i="20"/>
  <c r="K632" i="20"/>
  <c r="K86" i="21"/>
  <c r="P314" i="21"/>
  <c r="K372" i="21"/>
  <c r="K376" i="21"/>
  <c r="O380" i="21"/>
  <c r="K396" i="21"/>
  <c r="K401" i="21"/>
  <c r="K432" i="21"/>
  <c r="O599" i="21"/>
  <c r="K611" i="21"/>
  <c r="K620" i="21"/>
  <c r="L254" i="22"/>
  <c r="L252" i="22" s="1"/>
  <c r="O252" i="22" s="1"/>
  <c r="K376" i="22"/>
  <c r="K616" i="22"/>
  <c r="O21" i="1"/>
  <c r="L19" i="1"/>
  <c r="P19" i="2"/>
  <c r="O19" i="3"/>
  <c r="P74" i="3"/>
  <c r="M26" i="3"/>
  <c r="P29" i="2"/>
  <c r="M28" i="2"/>
  <c r="P28" i="2" s="1"/>
  <c r="K417" i="2"/>
  <c r="K614" i="2"/>
  <c r="K616" i="2"/>
  <c r="M13" i="1"/>
  <c r="P13" i="1" s="1"/>
  <c r="I86" i="1"/>
  <c r="M122" i="1"/>
  <c r="I215" i="1"/>
  <c r="I219" i="1"/>
  <c r="L221" i="1"/>
  <c r="O221" i="1" s="1"/>
  <c r="N258" i="1"/>
  <c r="J267" i="1"/>
  <c r="I306" i="1"/>
  <c r="L15" i="2"/>
  <c r="O15" i="2" s="1"/>
  <c r="N31" i="2"/>
  <c r="L33" i="2"/>
  <c r="O33" i="2" s="1"/>
  <c r="M68" i="2"/>
  <c r="K81" i="2"/>
  <c r="O102" i="2"/>
  <c r="K108" i="2"/>
  <c r="M120" i="2"/>
  <c r="K133" i="2"/>
  <c r="K173" i="2"/>
  <c r="K244" i="2"/>
  <c r="M273" i="2"/>
  <c r="N331" i="2"/>
  <c r="K339" i="2"/>
  <c r="O347" i="2"/>
  <c r="K368" i="2"/>
  <c r="O382" i="2"/>
  <c r="O403" i="2"/>
  <c r="K420" i="2"/>
  <c r="K428" i="2"/>
  <c r="O439" i="2"/>
  <c r="O459" i="2"/>
  <c r="K467" i="2"/>
  <c r="K475" i="2"/>
  <c r="K483" i="2"/>
  <c r="K491" i="2"/>
  <c r="K499" i="2"/>
  <c r="K507" i="2"/>
  <c r="K515" i="2"/>
  <c r="O533" i="2"/>
  <c r="O553" i="2"/>
  <c r="K561" i="2"/>
  <c r="K579" i="2"/>
  <c r="K597" i="2"/>
  <c r="O599" i="2"/>
  <c r="K635" i="2"/>
  <c r="N19" i="3"/>
  <c r="P23" i="3"/>
  <c r="M29" i="3"/>
  <c r="L32" i="3"/>
  <c r="L34" i="3"/>
  <c r="K285" i="3"/>
  <c r="K424" i="3"/>
  <c r="K618" i="3"/>
  <c r="M30" i="4"/>
  <c r="P30" i="4" s="1"/>
  <c r="P32" i="4"/>
  <c r="O25" i="5"/>
  <c r="L15" i="5"/>
  <c r="O15" i="5" s="1"/>
  <c r="N22" i="5"/>
  <c r="N292" i="5"/>
  <c r="N290" i="5" s="1"/>
  <c r="P294" i="4"/>
  <c r="M292" i="4"/>
  <c r="K425" i="2"/>
  <c r="K547" i="2"/>
  <c r="K613" i="2"/>
  <c r="P272" i="4"/>
  <c r="P32" i="1"/>
  <c r="N126" i="1"/>
  <c r="M254" i="1"/>
  <c r="L99" i="1"/>
  <c r="M221" i="1"/>
  <c r="P221" i="1" s="1"/>
  <c r="I229" i="1"/>
  <c r="I265" i="1"/>
  <c r="I417" i="1"/>
  <c r="L583" i="1"/>
  <c r="O583" i="1" s="1"/>
  <c r="M15" i="2"/>
  <c r="P15" i="2" s="1"/>
  <c r="P34" i="2"/>
  <c r="M55" i="2"/>
  <c r="P57" i="2"/>
  <c r="K64" i="2"/>
  <c r="K84" i="2"/>
  <c r="N120" i="2"/>
  <c r="M142" i="2"/>
  <c r="L224" i="2"/>
  <c r="K238" i="2"/>
  <c r="M252" i="2"/>
  <c r="N273" i="2"/>
  <c r="P275" i="2"/>
  <c r="M312" i="2"/>
  <c r="K342" i="2"/>
  <c r="K350" i="2"/>
  <c r="K371" i="2"/>
  <c r="O385" i="2"/>
  <c r="O406" i="2"/>
  <c r="K423" i="2"/>
  <c r="K431" i="2"/>
  <c r="K435" i="2"/>
  <c r="K451" i="2"/>
  <c r="K455" i="2"/>
  <c r="K470" i="2"/>
  <c r="K478" i="2"/>
  <c r="K486" i="2"/>
  <c r="K494" i="2"/>
  <c r="K502" i="2"/>
  <c r="K510" i="2"/>
  <c r="O536" i="2"/>
  <c r="O565" i="2"/>
  <c r="K573" i="2"/>
  <c r="O581" i="2"/>
  <c r="K589" i="2"/>
  <c r="K592" i="2"/>
  <c r="O597" i="2"/>
  <c r="K611" i="2"/>
  <c r="K617" i="2"/>
  <c r="N55" i="3"/>
  <c r="P55" i="3" s="1"/>
  <c r="O102" i="3"/>
  <c r="L144" i="3"/>
  <c r="O148" i="3"/>
  <c r="O279" i="3"/>
  <c r="P314" i="3"/>
  <c r="M312" i="3"/>
  <c r="P333" i="3"/>
  <c r="K343" i="3"/>
  <c r="K396" i="3"/>
  <c r="L57" i="4"/>
  <c r="L70" i="4"/>
  <c r="L122" i="4"/>
  <c r="K132" i="4"/>
  <c r="O141" i="4"/>
  <c r="K421" i="4"/>
  <c r="P25" i="5"/>
  <c r="M15" i="5"/>
  <c r="P15" i="5" s="1"/>
  <c r="K345" i="5"/>
  <c r="P251" i="4"/>
  <c r="K113" i="2"/>
  <c r="K380" i="2"/>
  <c r="O459" i="3"/>
  <c r="K189" i="4"/>
  <c r="P67" i="6"/>
  <c r="M66" i="6"/>
  <c r="P314" i="6"/>
  <c r="M312" i="6"/>
  <c r="P272" i="8"/>
  <c r="M28" i="1"/>
  <c r="P28" i="1" s="1"/>
  <c r="L46" i="1"/>
  <c r="M15" i="1"/>
  <c r="P15" i="1" s="1"/>
  <c r="P34" i="1"/>
  <c r="M57" i="1"/>
  <c r="N61" i="1"/>
  <c r="L100" i="1"/>
  <c r="I176" i="1"/>
  <c r="J185" i="1"/>
  <c r="M251" i="1"/>
  <c r="P251" i="1" s="1"/>
  <c r="N352" i="1"/>
  <c r="J376" i="1"/>
  <c r="J397" i="1"/>
  <c r="J401" i="1"/>
  <c r="J464" i="1"/>
  <c r="J551" i="1"/>
  <c r="L553" i="1"/>
  <c r="N567" i="1"/>
  <c r="P31" i="2"/>
  <c r="L45" i="2"/>
  <c r="N55" i="2"/>
  <c r="N53" i="2" s="1"/>
  <c r="P98" i="2"/>
  <c r="N142" i="2"/>
  <c r="P144" i="2"/>
  <c r="M220" i="2"/>
  <c r="N312" i="2"/>
  <c r="P314" i="2"/>
  <c r="P19" i="3"/>
  <c r="P21" i="3"/>
  <c r="O95" i="3"/>
  <c r="K149" i="3"/>
  <c r="O221" i="3"/>
  <c r="N312" i="3"/>
  <c r="N310" i="3" s="1"/>
  <c r="L33" i="3"/>
  <c r="O33" i="3" s="1"/>
  <c r="O353" i="3"/>
  <c r="I367" i="3"/>
  <c r="K367" i="3" s="1"/>
  <c r="O406" i="3"/>
  <c r="K431" i="3"/>
  <c r="O435" i="3"/>
  <c r="K455" i="3"/>
  <c r="K573" i="3"/>
  <c r="M22" i="4"/>
  <c r="P45" i="4"/>
  <c r="M43" i="4"/>
  <c r="O54" i="4"/>
  <c r="L24" i="4"/>
  <c r="P141" i="4"/>
  <c r="P33" i="5"/>
  <c r="M13" i="5"/>
  <c r="P13" i="5" s="1"/>
  <c r="O221" i="5"/>
  <c r="P291" i="5"/>
  <c r="M290" i="5"/>
  <c r="O221" i="6"/>
  <c r="O438" i="6"/>
  <c r="L33" i="6"/>
  <c r="O33" i="6" s="1"/>
  <c r="O42" i="9"/>
  <c r="O95" i="4"/>
  <c r="O554" i="4"/>
  <c r="L33" i="4"/>
  <c r="O33" i="4" s="1"/>
  <c r="O45" i="7"/>
  <c r="L43" i="7"/>
  <c r="N311" i="1"/>
  <c r="N351" i="1"/>
  <c r="O352" i="2"/>
  <c r="K619" i="2"/>
  <c r="P95" i="4"/>
  <c r="O382" i="5"/>
  <c r="L31" i="5"/>
  <c r="L11" i="5" s="1"/>
  <c r="N141" i="1"/>
  <c r="L277" i="1"/>
  <c r="L15" i="1"/>
  <c r="O15" i="1" s="1"/>
  <c r="I285" i="1"/>
  <c r="I216" i="1"/>
  <c r="N251" i="1"/>
  <c r="I371" i="1"/>
  <c r="L385" i="1"/>
  <c r="M11" i="3"/>
  <c r="N43" i="3"/>
  <c r="N41" i="3" s="1"/>
  <c r="M68" i="3"/>
  <c r="K81" i="3"/>
  <c r="L294" i="3"/>
  <c r="O552" i="3"/>
  <c r="L31" i="3"/>
  <c r="N22" i="4"/>
  <c r="N43" i="4"/>
  <c r="N41" i="4" s="1"/>
  <c r="P54" i="4"/>
  <c r="L26" i="4"/>
  <c r="O61" i="4"/>
  <c r="P67" i="4"/>
  <c r="P119" i="4"/>
  <c r="K213" i="4"/>
  <c r="K249" i="4"/>
  <c r="O49" i="6"/>
  <c r="L26" i="6"/>
  <c r="K186" i="2"/>
  <c r="P23" i="4"/>
  <c r="M13" i="4"/>
  <c r="P13" i="4" s="1"/>
  <c r="P224" i="4"/>
  <c r="N222" i="4"/>
  <c r="N220" i="4" s="1"/>
  <c r="I82" i="1"/>
  <c r="I200" i="1"/>
  <c r="L255" i="1"/>
  <c r="I345" i="1"/>
  <c r="I398" i="1"/>
  <c r="L437" i="1"/>
  <c r="I465" i="1"/>
  <c r="I481" i="1"/>
  <c r="I497" i="1"/>
  <c r="K497" i="1" s="1"/>
  <c r="I513" i="1"/>
  <c r="K513" i="1" s="1"/>
  <c r="K612" i="2"/>
  <c r="K615" i="2"/>
  <c r="K618" i="2"/>
  <c r="K416" i="3"/>
  <c r="K432" i="3"/>
  <c r="O455" i="3"/>
  <c r="N19" i="4"/>
  <c r="K93" i="4"/>
  <c r="O351" i="4"/>
  <c r="L31" i="4"/>
  <c r="O19" i="8"/>
  <c r="L74" i="1"/>
  <c r="M272" i="1"/>
  <c r="P272" i="1" s="1"/>
  <c r="M294" i="1"/>
  <c r="I421" i="1"/>
  <c r="I449" i="1"/>
  <c r="I476" i="1"/>
  <c r="K476" i="1" s="1"/>
  <c r="I500" i="1"/>
  <c r="K500" i="1" s="1"/>
  <c r="L554" i="1"/>
  <c r="O554" i="1" s="1"/>
  <c r="I611" i="1"/>
  <c r="M11" i="2"/>
  <c r="K631" i="2"/>
  <c r="O25" i="3"/>
  <c r="L15" i="3"/>
  <c r="O15" i="3" s="1"/>
  <c r="P45" i="3"/>
  <c r="M43" i="3"/>
  <c r="L98" i="3"/>
  <c r="K186" i="3"/>
  <c r="P251" i="3"/>
  <c r="M250" i="3"/>
  <c r="O537" i="3"/>
  <c r="K630" i="3"/>
  <c r="O251" i="4"/>
  <c r="K580" i="4"/>
  <c r="K613" i="3"/>
  <c r="M11" i="4"/>
  <c r="P21" i="4"/>
  <c r="M29" i="4"/>
  <c r="L32" i="5"/>
  <c r="O352" i="5"/>
  <c r="K369" i="5"/>
  <c r="I367" i="5"/>
  <c r="K367" i="5" s="1"/>
  <c r="O554" i="5"/>
  <c r="L33" i="5"/>
  <c r="O33" i="5" s="1"/>
  <c r="M13" i="6"/>
  <c r="P13" i="6" s="1"/>
  <c r="P33" i="6"/>
  <c r="N43" i="6"/>
  <c r="N41" i="6" s="1"/>
  <c r="N26" i="6"/>
  <c r="N16" i="6" s="1"/>
  <c r="O311" i="6"/>
  <c r="O126" i="7"/>
  <c r="L26" i="7"/>
  <c r="P141" i="7"/>
  <c r="M140" i="7"/>
  <c r="N32" i="7"/>
  <c r="N30" i="7" s="1"/>
  <c r="L24" i="8"/>
  <c r="P251" i="9"/>
  <c r="K616" i="3"/>
  <c r="M102" i="4"/>
  <c r="M96" i="4" s="1"/>
  <c r="K369" i="4"/>
  <c r="I367" i="4"/>
  <c r="K367" i="4" s="1"/>
  <c r="O383" i="4"/>
  <c r="K429" i="4"/>
  <c r="M9" i="5"/>
  <c r="P11" i="5"/>
  <c r="O49" i="5"/>
  <c r="M49" i="5"/>
  <c r="L26" i="5"/>
  <c r="M102" i="5"/>
  <c r="K465" i="5"/>
  <c r="K481" i="5"/>
  <c r="K497" i="5"/>
  <c r="K547" i="5"/>
  <c r="N252" i="6"/>
  <c r="O337" i="6"/>
  <c r="M337" i="6"/>
  <c r="N19" i="7"/>
  <c r="N15" i="7"/>
  <c r="O311" i="7"/>
  <c r="O102" i="9"/>
  <c r="L26" i="9"/>
  <c r="N273" i="10"/>
  <c r="N271" i="10" s="1"/>
  <c r="P275" i="10"/>
  <c r="K618" i="4"/>
  <c r="K615" i="4"/>
  <c r="K612" i="4"/>
  <c r="K614" i="4"/>
  <c r="K619" i="4"/>
  <c r="K611" i="4"/>
  <c r="K617" i="4"/>
  <c r="N26" i="5"/>
  <c r="N16" i="5" s="1"/>
  <c r="N55" i="5"/>
  <c r="P55" i="5" s="1"/>
  <c r="L294" i="5"/>
  <c r="L24" i="5"/>
  <c r="P11" i="6"/>
  <c r="M9" i="6"/>
  <c r="L19" i="6"/>
  <c r="O21" i="6"/>
  <c r="O54" i="6"/>
  <c r="N55" i="6"/>
  <c r="P55" i="6" s="1"/>
  <c r="N22" i="6"/>
  <c r="P57" i="6"/>
  <c r="P291" i="6"/>
  <c r="P120" i="10"/>
  <c r="M118" i="10"/>
  <c r="P118" i="10" s="1"/>
  <c r="M220" i="3"/>
  <c r="K614" i="3"/>
  <c r="K622" i="3"/>
  <c r="L15" i="4"/>
  <c r="O15" i="4" s="1"/>
  <c r="M68" i="4"/>
  <c r="P68" i="4" s="1"/>
  <c r="M120" i="4"/>
  <c r="M273" i="4"/>
  <c r="M337" i="4"/>
  <c r="O21" i="5"/>
  <c r="L19" i="5"/>
  <c r="L23" i="5"/>
  <c r="P275" i="5"/>
  <c r="N33" i="5"/>
  <c r="N13" i="5" s="1"/>
  <c r="O535" i="5"/>
  <c r="K614" i="5"/>
  <c r="K619" i="5"/>
  <c r="K611" i="5"/>
  <c r="K616" i="5"/>
  <c r="K618" i="5"/>
  <c r="K615" i="5"/>
  <c r="K617" i="5"/>
  <c r="P19" i="6"/>
  <c r="P24" i="6"/>
  <c r="M14" i="6"/>
  <c r="P14" i="6" s="1"/>
  <c r="O95" i="6"/>
  <c r="P98" i="6"/>
  <c r="M96" i="6"/>
  <c r="M22" i="6"/>
  <c r="M118" i="6"/>
  <c r="P118" i="6" s="1"/>
  <c r="O74" i="8"/>
  <c r="L142" i="8"/>
  <c r="O144" i="8"/>
  <c r="M15" i="3"/>
  <c r="P15" i="3" s="1"/>
  <c r="M329" i="3"/>
  <c r="M15" i="4"/>
  <c r="P15" i="4" s="1"/>
  <c r="M55" i="4"/>
  <c r="M142" i="4"/>
  <c r="M252" i="4"/>
  <c r="M19" i="5"/>
  <c r="P24" i="5"/>
  <c r="M14" i="5"/>
  <c r="P14" i="5" s="1"/>
  <c r="P42" i="5"/>
  <c r="M22" i="5"/>
  <c r="K113" i="5"/>
  <c r="P314" i="5"/>
  <c r="M312" i="5"/>
  <c r="K377" i="5"/>
  <c r="K397" i="5"/>
  <c r="O401" i="5"/>
  <c r="K426" i="5"/>
  <c r="O457" i="5"/>
  <c r="O599" i="5"/>
  <c r="L24" i="6"/>
  <c r="P70" i="6"/>
  <c r="N68" i="6"/>
  <c r="P68" i="6" s="1"/>
  <c r="O61" i="8"/>
  <c r="M19" i="9"/>
  <c r="P21" i="9"/>
  <c r="M11" i="9"/>
  <c r="N22" i="9"/>
  <c r="N43" i="9"/>
  <c r="N41" i="9" s="1"/>
  <c r="M53" i="9"/>
  <c r="P333" i="9"/>
  <c r="M22" i="9"/>
  <c r="M220" i="4"/>
  <c r="K450" i="4"/>
  <c r="K564" i="4"/>
  <c r="P29" i="5"/>
  <c r="M28" i="5"/>
  <c r="P28" i="5" s="1"/>
  <c r="O311" i="5"/>
  <c r="O337" i="5"/>
  <c r="M337" i="5"/>
  <c r="K473" i="5"/>
  <c r="O25" i="6"/>
  <c r="L15" i="6"/>
  <c r="O15" i="6" s="1"/>
  <c r="P29" i="6"/>
  <c r="M28" i="6"/>
  <c r="P28" i="6" s="1"/>
  <c r="P42" i="6"/>
  <c r="L23" i="6"/>
  <c r="L70" i="6"/>
  <c r="K80" i="6"/>
  <c r="L98" i="6"/>
  <c r="N142" i="6"/>
  <c r="P142" i="6" s="1"/>
  <c r="O67" i="7"/>
  <c r="O141" i="8"/>
  <c r="L275" i="8"/>
  <c r="L292" i="8"/>
  <c r="P32" i="5"/>
  <c r="M53" i="5"/>
  <c r="M250" i="5"/>
  <c r="P250" i="5" s="1"/>
  <c r="K623" i="5"/>
  <c r="M140" i="6"/>
  <c r="K416" i="6"/>
  <c r="K432" i="6"/>
  <c r="L24" i="7"/>
  <c r="K343" i="7"/>
  <c r="K396" i="7"/>
  <c r="N26" i="8"/>
  <c r="O354" i="8"/>
  <c r="L34" i="8"/>
  <c r="O435" i="8"/>
  <c r="O438" i="8"/>
  <c r="L33" i="8"/>
  <c r="O33" i="8" s="1"/>
  <c r="N19" i="9"/>
  <c r="O141" i="9"/>
  <c r="O384" i="11"/>
  <c r="L33" i="11"/>
  <c r="O33" i="11" s="1"/>
  <c r="K622" i="4"/>
  <c r="K626" i="5"/>
  <c r="K464" i="6"/>
  <c r="O537" i="6"/>
  <c r="K631" i="6"/>
  <c r="P251" i="7"/>
  <c r="L254" i="7"/>
  <c r="K401" i="7"/>
  <c r="K425" i="7"/>
  <c r="O438" i="7"/>
  <c r="L33" i="7"/>
  <c r="O33" i="7" s="1"/>
  <c r="K416" i="8"/>
  <c r="K432" i="8"/>
  <c r="P96" i="9"/>
  <c r="M94" i="9"/>
  <c r="P94" i="9" s="1"/>
  <c r="P251" i="13"/>
  <c r="M292" i="7"/>
  <c r="P294" i="7"/>
  <c r="M19" i="8"/>
  <c r="P21" i="8"/>
  <c r="M11" i="8"/>
  <c r="M120" i="8"/>
  <c r="P122" i="8"/>
  <c r="O221" i="8"/>
  <c r="N31" i="8"/>
  <c r="L23" i="9"/>
  <c r="L57" i="9"/>
  <c r="K620" i="4"/>
  <c r="K624" i="5"/>
  <c r="L31" i="6"/>
  <c r="L11" i="6" s="1"/>
  <c r="M43" i="6"/>
  <c r="O352" i="6"/>
  <c r="K380" i="6"/>
  <c r="K547" i="6"/>
  <c r="K632" i="6"/>
  <c r="N22" i="7"/>
  <c r="P98" i="7"/>
  <c r="O354" i="7"/>
  <c r="L34" i="7"/>
  <c r="K416" i="7"/>
  <c r="K432" i="7"/>
  <c r="N19" i="8"/>
  <c r="P333" i="8"/>
  <c r="K375" i="8"/>
  <c r="O382" i="8"/>
  <c r="L31" i="8"/>
  <c r="L11" i="8" s="1"/>
  <c r="O537" i="8"/>
  <c r="K631" i="8"/>
  <c r="O311" i="10"/>
  <c r="K623" i="4"/>
  <c r="M19" i="7"/>
  <c r="P21" i="7"/>
  <c r="M11" i="7"/>
  <c r="K149" i="7"/>
  <c r="L294" i="7"/>
  <c r="O537" i="7"/>
  <c r="O553" i="7"/>
  <c r="L32" i="7"/>
  <c r="M22" i="8"/>
  <c r="P29" i="8"/>
  <c r="M28" i="8"/>
  <c r="P28" i="8" s="1"/>
  <c r="P54" i="8"/>
  <c r="L122" i="8"/>
  <c r="M273" i="8"/>
  <c r="P275" i="8"/>
  <c r="O352" i="8"/>
  <c r="N32" i="8"/>
  <c r="N30" i="8" s="1"/>
  <c r="K372" i="8"/>
  <c r="O553" i="8"/>
  <c r="L32" i="8"/>
  <c r="P29" i="9"/>
  <c r="M28" i="9"/>
  <c r="P28" i="9" s="1"/>
  <c r="K396" i="6"/>
  <c r="P29" i="7"/>
  <c r="M28" i="7"/>
  <c r="P28" i="7" s="1"/>
  <c r="L23" i="7"/>
  <c r="O382" i="7"/>
  <c r="L31" i="7"/>
  <c r="K417" i="7"/>
  <c r="O455" i="7"/>
  <c r="O566" i="7"/>
  <c r="K631" i="7"/>
  <c r="L23" i="8"/>
  <c r="P95" i="8"/>
  <c r="L98" i="8"/>
  <c r="K424" i="8"/>
  <c r="O566" i="8"/>
  <c r="O597" i="8"/>
  <c r="P119" i="9"/>
  <c r="O438" i="9"/>
  <c r="L33" i="9"/>
  <c r="O33" i="9" s="1"/>
  <c r="K613" i="6"/>
  <c r="K613" i="7"/>
  <c r="K613" i="8"/>
  <c r="K213" i="9"/>
  <c r="M292" i="9"/>
  <c r="P292" i="9" s="1"/>
  <c r="P294" i="9"/>
  <c r="P29" i="10"/>
  <c r="M28" i="10"/>
  <c r="P28" i="10" s="1"/>
  <c r="N55" i="10"/>
  <c r="N53" i="10" s="1"/>
  <c r="N22" i="10"/>
  <c r="K173" i="10"/>
  <c r="K219" i="10"/>
  <c r="K612" i="10"/>
  <c r="K617" i="10"/>
  <c r="K614" i="10"/>
  <c r="K616" i="10"/>
  <c r="K618" i="10"/>
  <c r="K615" i="10"/>
  <c r="N22" i="11"/>
  <c r="N55" i="11"/>
  <c r="N53" i="11" s="1"/>
  <c r="K149" i="9"/>
  <c r="P224" i="9"/>
  <c r="N222" i="9"/>
  <c r="N220" i="9" s="1"/>
  <c r="O251" i="9"/>
  <c r="K427" i="9"/>
  <c r="M271" i="10"/>
  <c r="O599" i="10"/>
  <c r="O119" i="11"/>
  <c r="P19" i="12"/>
  <c r="K614" i="6"/>
  <c r="K622" i="6"/>
  <c r="L15" i="7"/>
  <c r="O15" i="7" s="1"/>
  <c r="M68" i="7"/>
  <c r="M220" i="7"/>
  <c r="K614" i="7"/>
  <c r="K622" i="7"/>
  <c r="L15" i="8"/>
  <c r="O15" i="8" s="1"/>
  <c r="N22" i="8"/>
  <c r="M222" i="8"/>
  <c r="P252" i="8"/>
  <c r="K614" i="8"/>
  <c r="K622" i="8"/>
  <c r="L15" i="9"/>
  <c r="O15" i="9" s="1"/>
  <c r="O54" i="9"/>
  <c r="P141" i="9"/>
  <c r="M140" i="9"/>
  <c r="L254" i="9"/>
  <c r="N331" i="9"/>
  <c r="N329" i="9" s="1"/>
  <c r="O437" i="9"/>
  <c r="O19" i="10"/>
  <c r="O25" i="10"/>
  <c r="L15" i="10"/>
  <c r="O15" i="10" s="1"/>
  <c r="L26" i="10"/>
  <c r="P98" i="10"/>
  <c r="M96" i="10"/>
  <c r="O330" i="10"/>
  <c r="K398" i="10"/>
  <c r="P144" i="11"/>
  <c r="N142" i="11"/>
  <c r="K617" i="6"/>
  <c r="K625" i="6"/>
  <c r="M15" i="7"/>
  <c r="P15" i="7" s="1"/>
  <c r="P34" i="7"/>
  <c r="M55" i="7"/>
  <c r="K617" i="7"/>
  <c r="K625" i="7"/>
  <c r="M15" i="8"/>
  <c r="P15" i="8" s="1"/>
  <c r="K617" i="8"/>
  <c r="M15" i="9"/>
  <c r="P15" i="9" s="1"/>
  <c r="P34" i="9"/>
  <c r="P45" i="9"/>
  <c r="M43" i="9"/>
  <c r="L144" i="9"/>
  <c r="P291" i="9"/>
  <c r="K533" i="9"/>
  <c r="K612" i="9"/>
  <c r="K617" i="9"/>
  <c r="K614" i="9"/>
  <c r="K616" i="9"/>
  <c r="K618" i="9"/>
  <c r="K615" i="9"/>
  <c r="L45" i="10"/>
  <c r="L23" i="10"/>
  <c r="N26" i="10"/>
  <c r="N16" i="10" s="1"/>
  <c r="P221" i="10"/>
  <c r="M220" i="10"/>
  <c r="L31" i="10"/>
  <c r="K619" i="10"/>
  <c r="N26" i="11"/>
  <c r="N16" i="11" s="1"/>
  <c r="P34" i="12"/>
  <c r="M14" i="12"/>
  <c r="P14" i="12" s="1"/>
  <c r="M142" i="12"/>
  <c r="P144" i="12"/>
  <c r="N68" i="10"/>
  <c r="N66" i="10" s="1"/>
  <c r="M9" i="11"/>
  <c r="P25" i="11"/>
  <c r="M15" i="11"/>
  <c r="P15" i="11" s="1"/>
  <c r="M19" i="11"/>
  <c r="M30" i="11"/>
  <c r="P30" i="11" s="1"/>
  <c r="P32" i="11"/>
  <c r="K615" i="6"/>
  <c r="K623" i="6"/>
  <c r="M331" i="7"/>
  <c r="K615" i="7"/>
  <c r="K623" i="7"/>
  <c r="K615" i="8"/>
  <c r="P272" i="9"/>
  <c r="M16" i="10"/>
  <c r="P141" i="11"/>
  <c r="M140" i="11"/>
  <c r="P224" i="11"/>
  <c r="M222" i="11"/>
  <c r="M14" i="8"/>
  <c r="P14" i="8" s="1"/>
  <c r="M66" i="8"/>
  <c r="P66" i="8" s="1"/>
  <c r="K138" i="9"/>
  <c r="K229" i="9"/>
  <c r="K402" i="9"/>
  <c r="K426" i="9"/>
  <c r="O568" i="9"/>
  <c r="P11" i="10"/>
  <c r="M9" i="10"/>
  <c r="P57" i="10"/>
  <c r="P291" i="10"/>
  <c r="O380" i="10"/>
  <c r="O438" i="10"/>
  <c r="L33" i="10"/>
  <c r="O33" i="10" s="1"/>
  <c r="K613" i="10"/>
  <c r="N32" i="12"/>
  <c r="N30" i="12" s="1"/>
  <c r="O457" i="12"/>
  <c r="L45" i="13"/>
  <c r="L24" i="13"/>
  <c r="K623" i="9"/>
  <c r="P224" i="10"/>
  <c r="M310" i="10"/>
  <c r="P310" i="10" s="1"/>
  <c r="K623" i="10"/>
  <c r="O67" i="11"/>
  <c r="P333" i="11"/>
  <c r="O383" i="11"/>
  <c r="L32" i="11"/>
  <c r="K402" i="11"/>
  <c r="K429" i="11"/>
  <c r="K620" i="11"/>
  <c r="K625" i="11"/>
  <c r="K626" i="11"/>
  <c r="K623" i="11"/>
  <c r="K634" i="11"/>
  <c r="K164" i="12"/>
  <c r="P311" i="12"/>
  <c r="K328" i="12"/>
  <c r="K626" i="9"/>
  <c r="K626" i="10"/>
  <c r="L45" i="11"/>
  <c r="P57" i="11"/>
  <c r="M55" i="11"/>
  <c r="M22" i="11"/>
  <c r="L294" i="11"/>
  <c r="K498" i="11"/>
  <c r="K628" i="11"/>
  <c r="L57" i="12"/>
  <c r="L23" i="12"/>
  <c r="K158" i="12"/>
  <c r="O291" i="12"/>
  <c r="O566" i="12"/>
  <c r="L254" i="13"/>
  <c r="L31" i="13"/>
  <c r="O436" i="13"/>
  <c r="K629" i="13"/>
  <c r="M220" i="9"/>
  <c r="K624" i="9"/>
  <c r="M43" i="10"/>
  <c r="O61" i="10"/>
  <c r="K624" i="10"/>
  <c r="O19" i="11"/>
  <c r="P23" i="11"/>
  <c r="M13" i="11"/>
  <c r="P13" i="11" s="1"/>
  <c r="L26" i="11"/>
  <c r="P98" i="11"/>
  <c r="N222" i="11"/>
  <c r="N220" i="11" s="1"/>
  <c r="P291" i="11"/>
  <c r="K340" i="11"/>
  <c r="K369" i="11"/>
  <c r="I367" i="11"/>
  <c r="K367" i="11" s="1"/>
  <c r="K381" i="11"/>
  <c r="K421" i="11"/>
  <c r="K612" i="11"/>
  <c r="K617" i="11"/>
  <c r="K619" i="11"/>
  <c r="K611" i="11"/>
  <c r="K618" i="11"/>
  <c r="K615" i="11"/>
  <c r="M28" i="12"/>
  <c r="P28" i="12" s="1"/>
  <c r="P102" i="12"/>
  <c r="O383" i="12"/>
  <c r="L32" i="12"/>
  <c r="L19" i="13"/>
  <c r="O21" i="13"/>
  <c r="M30" i="13"/>
  <c r="P32" i="13"/>
  <c r="M26" i="13"/>
  <c r="P337" i="13"/>
  <c r="O49" i="14"/>
  <c r="M49" i="14"/>
  <c r="M43" i="14" s="1"/>
  <c r="L26" i="14"/>
  <c r="O352" i="14"/>
  <c r="L32" i="14"/>
  <c r="L31" i="14"/>
  <c r="L11" i="14" s="1"/>
  <c r="O436" i="14"/>
  <c r="P311" i="11"/>
  <c r="M310" i="11"/>
  <c r="P310" i="11" s="1"/>
  <c r="O42" i="12"/>
  <c r="O67" i="12"/>
  <c r="N26" i="12"/>
  <c r="M222" i="12"/>
  <c r="P224" i="12"/>
  <c r="O272" i="12"/>
  <c r="P330" i="12"/>
  <c r="M329" i="12"/>
  <c r="O42" i="13"/>
  <c r="M331" i="13"/>
  <c r="P33" i="14"/>
  <c r="M13" i="14"/>
  <c r="P13" i="14" s="1"/>
  <c r="P42" i="14"/>
  <c r="K622" i="9"/>
  <c r="K622" i="10"/>
  <c r="O272" i="11"/>
  <c r="P337" i="11"/>
  <c r="M26" i="11"/>
  <c r="P11" i="12"/>
  <c r="N22" i="12"/>
  <c r="O102" i="12"/>
  <c r="O354" i="12"/>
  <c r="N34" i="12"/>
  <c r="N14" i="12" s="1"/>
  <c r="P42" i="13"/>
  <c r="M68" i="13"/>
  <c r="P70" i="13"/>
  <c r="P24" i="14"/>
  <c r="M14" i="14"/>
  <c r="P14" i="14" s="1"/>
  <c r="K625" i="9"/>
  <c r="M55" i="10"/>
  <c r="M329" i="10"/>
  <c r="K625" i="10"/>
  <c r="O42" i="11"/>
  <c r="N33" i="11"/>
  <c r="N13" i="11" s="1"/>
  <c r="P25" i="12"/>
  <c r="M15" i="12"/>
  <c r="P15" i="12" s="1"/>
  <c r="L224" i="12"/>
  <c r="M312" i="13"/>
  <c r="P314" i="13"/>
  <c r="O141" i="14"/>
  <c r="L144" i="11"/>
  <c r="P251" i="11"/>
  <c r="M250" i="11"/>
  <c r="P250" i="11" s="1"/>
  <c r="M292" i="11"/>
  <c r="P292" i="11" s="1"/>
  <c r="P294" i="11"/>
  <c r="K482" i="11"/>
  <c r="K622" i="11"/>
  <c r="L19" i="12"/>
  <c r="P98" i="12"/>
  <c r="O119" i="12"/>
  <c r="K265" i="12"/>
  <c r="K340" i="12"/>
  <c r="K369" i="12"/>
  <c r="I367" i="12"/>
  <c r="K367" i="12" s="1"/>
  <c r="P19" i="13"/>
  <c r="M22" i="13"/>
  <c r="O67" i="13"/>
  <c r="O21" i="14"/>
  <c r="L19" i="14"/>
  <c r="P119" i="14"/>
  <c r="M26" i="12"/>
  <c r="K618" i="12"/>
  <c r="P45" i="13"/>
  <c r="L57" i="13"/>
  <c r="L23" i="13"/>
  <c r="K65" i="13"/>
  <c r="K200" i="13"/>
  <c r="P330" i="13"/>
  <c r="L333" i="13"/>
  <c r="K422" i="13"/>
  <c r="L34" i="14"/>
  <c r="O584" i="14"/>
  <c r="O21" i="15"/>
  <c r="L19" i="15"/>
  <c r="K613" i="12"/>
  <c r="N222" i="14"/>
  <c r="N220" i="14" s="1"/>
  <c r="N22" i="14"/>
  <c r="M13" i="12"/>
  <c r="P13" i="12" s="1"/>
  <c r="M22" i="12"/>
  <c r="P32" i="12"/>
  <c r="M55" i="12"/>
  <c r="K614" i="12"/>
  <c r="L33" i="13"/>
  <c r="O33" i="13" s="1"/>
  <c r="O49" i="13"/>
  <c r="L26" i="13"/>
  <c r="N33" i="13"/>
  <c r="N13" i="13" s="1"/>
  <c r="P29" i="14"/>
  <c r="M28" i="14"/>
  <c r="P28" i="14" s="1"/>
  <c r="N26" i="14"/>
  <c r="N16" i="14" s="1"/>
  <c r="L144" i="14"/>
  <c r="L23" i="14"/>
  <c r="O42" i="15"/>
  <c r="L224" i="15"/>
  <c r="L23" i="15"/>
  <c r="L220" i="14"/>
  <c r="O221" i="15"/>
  <c r="M331" i="11"/>
  <c r="K612" i="12"/>
  <c r="P9" i="13"/>
  <c r="P33" i="13"/>
  <c r="P57" i="13"/>
  <c r="M55" i="13"/>
  <c r="P141" i="13"/>
  <c r="K164" i="13"/>
  <c r="O291" i="13"/>
  <c r="N34" i="13"/>
  <c r="K450" i="13"/>
  <c r="O535" i="13"/>
  <c r="K189" i="14"/>
  <c r="O251" i="14"/>
  <c r="P272" i="14"/>
  <c r="N292" i="14"/>
  <c r="N290" i="14" s="1"/>
  <c r="P333" i="14"/>
  <c r="M331" i="14"/>
  <c r="M22" i="14"/>
  <c r="O564" i="14"/>
  <c r="M118" i="11"/>
  <c r="P118" i="11" s="1"/>
  <c r="M271" i="11"/>
  <c r="P271" i="11" s="1"/>
  <c r="O352" i="13"/>
  <c r="L32" i="13"/>
  <c r="O224" i="14"/>
  <c r="L275" i="14"/>
  <c r="N33" i="14"/>
  <c r="N13" i="14" s="1"/>
  <c r="K450" i="14"/>
  <c r="O535" i="14"/>
  <c r="P19" i="15"/>
  <c r="I367" i="13"/>
  <c r="K367" i="13" s="1"/>
  <c r="K597" i="14"/>
  <c r="K158" i="15"/>
  <c r="O291" i="15"/>
  <c r="K328" i="15"/>
  <c r="K380" i="15"/>
  <c r="O534" i="16"/>
  <c r="L31" i="16"/>
  <c r="K622" i="13"/>
  <c r="P95" i="15"/>
  <c r="K401" i="15"/>
  <c r="K423" i="15"/>
  <c r="K435" i="15"/>
  <c r="K455" i="15"/>
  <c r="P31" i="13"/>
  <c r="M292" i="13"/>
  <c r="K612" i="13"/>
  <c r="K620" i="13"/>
  <c r="P31" i="14"/>
  <c r="M222" i="14"/>
  <c r="K573" i="14"/>
  <c r="K625" i="14"/>
  <c r="P21" i="15"/>
  <c r="M11" i="15"/>
  <c r="M68" i="15"/>
  <c r="K265" i="15"/>
  <c r="O352" i="15"/>
  <c r="K397" i="15"/>
  <c r="K417" i="15"/>
  <c r="K431" i="15"/>
  <c r="K623" i="13"/>
  <c r="P330" i="15"/>
  <c r="O337" i="16"/>
  <c r="M337" i="16"/>
  <c r="L32" i="16"/>
  <c r="O383" i="16"/>
  <c r="N34" i="16"/>
  <c r="N14" i="16" s="1"/>
  <c r="O406" i="16"/>
  <c r="K618" i="13"/>
  <c r="K626" i="13"/>
  <c r="M292" i="14"/>
  <c r="P292" i="14" s="1"/>
  <c r="K620" i="14"/>
  <c r="K623" i="14"/>
  <c r="K630" i="14"/>
  <c r="P144" i="15"/>
  <c r="N142" i="15"/>
  <c r="N140" i="15" s="1"/>
  <c r="M271" i="15"/>
  <c r="K425" i="15"/>
  <c r="O439" i="15"/>
  <c r="K573" i="15"/>
  <c r="P330" i="16"/>
  <c r="M142" i="13"/>
  <c r="K613" i="13"/>
  <c r="K621" i="13"/>
  <c r="M11" i="14"/>
  <c r="M140" i="14"/>
  <c r="M250" i="14"/>
  <c r="P250" i="14" s="1"/>
  <c r="M312" i="14"/>
  <c r="P312" i="14" s="1"/>
  <c r="K626" i="14"/>
  <c r="P54" i="15"/>
  <c r="M53" i="15"/>
  <c r="N222" i="16"/>
  <c r="N220" i="16" s="1"/>
  <c r="N26" i="16"/>
  <c r="N16" i="16" s="1"/>
  <c r="M43" i="13"/>
  <c r="M66" i="14"/>
  <c r="P66" i="14" s="1"/>
  <c r="K164" i="15"/>
  <c r="P254" i="15"/>
  <c r="N252" i="15"/>
  <c r="N250" i="15" s="1"/>
  <c r="K267" i="15"/>
  <c r="O385" i="15"/>
  <c r="O406" i="15"/>
  <c r="O437" i="15"/>
  <c r="L32" i="15"/>
  <c r="M140" i="16"/>
  <c r="M140" i="15"/>
  <c r="M250" i="15"/>
  <c r="K623" i="15"/>
  <c r="O291" i="16"/>
  <c r="O380" i="16"/>
  <c r="N32" i="16"/>
  <c r="N30" i="16" s="1"/>
  <c r="M41" i="16"/>
  <c r="P291" i="16"/>
  <c r="P11" i="17"/>
  <c r="O67" i="17"/>
  <c r="O330" i="19"/>
  <c r="K369" i="20"/>
  <c r="I367" i="20"/>
  <c r="K367" i="20" s="1"/>
  <c r="O439" i="20"/>
  <c r="L34" i="20"/>
  <c r="K621" i="15"/>
  <c r="L294" i="16"/>
  <c r="P311" i="17"/>
  <c r="M310" i="17"/>
  <c r="P310" i="17" s="1"/>
  <c r="P34" i="16"/>
  <c r="M14" i="16"/>
  <c r="P14" i="16" s="1"/>
  <c r="M271" i="16"/>
  <c r="O311" i="16"/>
  <c r="L15" i="17"/>
  <c r="O15" i="17" s="1"/>
  <c r="O25" i="17"/>
  <c r="M9" i="19"/>
  <c r="P11" i="19"/>
  <c r="K634" i="15"/>
  <c r="P25" i="16"/>
  <c r="M15" i="16"/>
  <c r="P15" i="16" s="1"/>
  <c r="K369" i="16"/>
  <c r="I367" i="16"/>
  <c r="K367" i="16" s="1"/>
  <c r="K398" i="16"/>
  <c r="O457" i="16"/>
  <c r="M15" i="17"/>
  <c r="P15" i="17" s="1"/>
  <c r="P25" i="17"/>
  <c r="M19" i="17"/>
  <c r="K265" i="17"/>
  <c r="P291" i="18"/>
  <c r="M222" i="15"/>
  <c r="K622" i="15"/>
  <c r="M9" i="16"/>
  <c r="P11" i="16"/>
  <c r="P31" i="16"/>
  <c r="M29" i="16"/>
  <c r="M19" i="16"/>
  <c r="L23" i="16"/>
  <c r="L45" i="16"/>
  <c r="N96" i="16"/>
  <c r="N94" i="16" s="1"/>
  <c r="N22" i="16"/>
  <c r="L26" i="16"/>
  <c r="O228" i="16"/>
  <c r="O353" i="16"/>
  <c r="L33" i="16"/>
  <c r="O33" i="16" s="1"/>
  <c r="O568" i="16"/>
  <c r="L34" i="16"/>
  <c r="O599" i="16"/>
  <c r="K617" i="16"/>
  <c r="K614" i="16"/>
  <c r="K619" i="16"/>
  <c r="K611" i="16"/>
  <c r="K616" i="16"/>
  <c r="K615" i="16"/>
  <c r="K612" i="16"/>
  <c r="K633" i="16"/>
  <c r="P42" i="17"/>
  <c r="L45" i="17"/>
  <c r="L24" i="17"/>
  <c r="N331" i="16"/>
  <c r="N329" i="16" s="1"/>
  <c r="K620" i="16"/>
  <c r="N26" i="19"/>
  <c r="N96" i="19"/>
  <c r="N94" i="19" s="1"/>
  <c r="O102" i="19"/>
  <c r="K623" i="16"/>
  <c r="O42" i="17"/>
  <c r="L57" i="17"/>
  <c r="L23" i="17"/>
  <c r="P144" i="17"/>
  <c r="O383" i="17"/>
  <c r="N43" i="18"/>
  <c r="N41" i="18" s="1"/>
  <c r="L144" i="18"/>
  <c r="L24" i="18"/>
  <c r="L15" i="16"/>
  <c r="O15" i="16" s="1"/>
  <c r="K624" i="16"/>
  <c r="O119" i="17"/>
  <c r="M250" i="17"/>
  <c r="N310" i="17"/>
  <c r="P330" i="17"/>
  <c r="M14" i="18"/>
  <c r="P14" i="18" s="1"/>
  <c r="P34" i="18"/>
  <c r="P330" i="18"/>
  <c r="M329" i="18"/>
  <c r="M13" i="17"/>
  <c r="P13" i="17" s="1"/>
  <c r="O21" i="17"/>
  <c r="L19" i="17"/>
  <c r="K64" i="17"/>
  <c r="K164" i="17"/>
  <c r="P224" i="17"/>
  <c r="M222" i="17"/>
  <c r="M22" i="17"/>
  <c r="K421" i="17"/>
  <c r="P294" i="18"/>
  <c r="M292" i="18"/>
  <c r="M22" i="18"/>
  <c r="M222" i="16"/>
  <c r="K622" i="16"/>
  <c r="N96" i="17"/>
  <c r="N94" i="17" s="1"/>
  <c r="O272" i="17"/>
  <c r="O291" i="17"/>
  <c r="O74" i="18"/>
  <c r="M74" i="18"/>
  <c r="M140" i="17"/>
  <c r="K349" i="17"/>
  <c r="O354" i="17"/>
  <c r="N34" i="17"/>
  <c r="K429" i="17"/>
  <c r="M29" i="18"/>
  <c r="P31" i="18"/>
  <c r="M55" i="17"/>
  <c r="M94" i="17"/>
  <c r="P94" i="17" s="1"/>
  <c r="N120" i="17"/>
  <c r="P120" i="17" s="1"/>
  <c r="N273" i="17"/>
  <c r="P273" i="17" s="1"/>
  <c r="I367" i="17"/>
  <c r="K367" i="17" s="1"/>
  <c r="K632" i="17"/>
  <c r="K81" i="18"/>
  <c r="O291" i="18"/>
  <c r="P333" i="18"/>
  <c r="N331" i="18"/>
  <c r="N329" i="18" s="1"/>
  <c r="O353" i="18"/>
  <c r="L33" i="18"/>
  <c r="O33" i="18" s="1"/>
  <c r="K381" i="18"/>
  <c r="O437" i="18"/>
  <c r="K465" i="18"/>
  <c r="K482" i="18"/>
  <c r="N34" i="19"/>
  <c r="N14" i="19" s="1"/>
  <c r="O439" i="19"/>
  <c r="P251" i="18"/>
  <c r="M271" i="18"/>
  <c r="N55" i="19"/>
  <c r="N53" i="19" s="1"/>
  <c r="N22" i="19"/>
  <c r="L26" i="17"/>
  <c r="P54" i="18"/>
  <c r="M53" i="18"/>
  <c r="M118" i="18"/>
  <c r="P118" i="18" s="1"/>
  <c r="P120" i="18"/>
  <c r="O457" i="18"/>
  <c r="K473" i="18"/>
  <c r="O568" i="18"/>
  <c r="M331" i="17"/>
  <c r="P25" i="18"/>
  <c r="M15" i="18"/>
  <c r="P15" i="18" s="1"/>
  <c r="L23" i="18"/>
  <c r="K618" i="18"/>
  <c r="K615" i="18"/>
  <c r="K612" i="18"/>
  <c r="K617" i="18"/>
  <c r="K619" i="18"/>
  <c r="K611" i="18"/>
  <c r="K616" i="18"/>
  <c r="K613" i="18"/>
  <c r="K614" i="18"/>
  <c r="M118" i="17"/>
  <c r="M271" i="17"/>
  <c r="K613" i="17"/>
  <c r="K621" i="17"/>
  <c r="K289" i="18"/>
  <c r="O337" i="18"/>
  <c r="K345" i="18"/>
  <c r="K369" i="18"/>
  <c r="I367" i="18"/>
  <c r="K367" i="18" s="1"/>
  <c r="L32" i="18"/>
  <c r="O383" i="18"/>
  <c r="K426" i="18"/>
  <c r="K474" i="18"/>
  <c r="O599" i="18"/>
  <c r="P254" i="19"/>
  <c r="M252" i="19"/>
  <c r="K631" i="17"/>
  <c r="P21" i="18"/>
  <c r="M11" i="18"/>
  <c r="M19" i="18"/>
  <c r="M41" i="18"/>
  <c r="P141" i="18"/>
  <c r="M140" i="18"/>
  <c r="P144" i="18"/>
  <c r="N142" i="18"/>
  <c r="N140" i="18" s="1"/>
  <c r="K176" i="18"/>
  <c r="K229" i="18"/>
  <c r="O380" i="18"/>
  <c r="K481" i="18"/>
  <c r="K498" i="18"/>
  <c r="N31" i="18"/>
  <c r="P144" i="19"/>
  <c r="M142" i="19"/>
  <c r="K622" i="17"/>
  <c r="P98" i="19"/>
  <c r="M96" i="19"/>
  <c r="M22" i="19"/>
  <c r="P275" i="19"/>
  <c r="N273" i="19"/>
  <c r="N271" i="19" s="1"/>
  <c r="L33" i="19"/>
  <c r="O33" i="19" s="1"/>
  <c r="O536" i="19"/>
  <c r="K625" i="17"/>
  <c r="O565" i="19"/>
  <c r="L31" i="19"/>
  <c r="O311" i="20"/>
  <c r="P29" i="19"/>
  <c r="M28" i="19"/>
  <c r="P28" i="19" s="1"/>
  <c r="K613" i="19"/>
  <c r="K615" i="17"/>
  <c r="K623" i="17"/>
  <c r="M310" i="18"/>
  <c r="K626" i="18"/>
  <c r="K623" i="18"/>
  <c r="K620" i="18"/>
  <c r="K625" i="18"/>
  <c r="K622" i="18"/>
  <c r="K624" i="18"/>
  <c r="O25" i="19"/>
  <c r="L15" i="19"/>
  <c r="O15" i="19" s="1"/>
  <c r="O555" i="18"/>
  <c r="P102" i="19"/>
  <c r="P221" i="19"/>
  <c r="L24" i="19"/>
  <c r="L224" i="19"/>
  <c r="M14" i="20"/>
  <c r="P14" i="20" s="1"/>
  <c r="P34" i="20"/>
  <c r="O383" i="20"/>
  <c r="L32" i="20"/>
  <c r="K401" i="20"/>
  <c r="N31" i="20"/>
  <c r="L19" i="19"/>
  <c r="M55" i="19"/>
  <c r="K619" i="19"/>
  <c r="K611" i="19"/>
  <c r="K618" i="19"/>
  <c r="K615" i="19"/>
  <c r="K617" i="19"/>
  <c r="K614" i="19"/>
  <c r="K628" i="19"/>
  <c r="P29" i="20"/>
  <c r="M28" i="20"/>
  <c r="P28" i="20" s="1"/>
  <c r="P11" i="20"/>
  <c r="L19" i="20"/>
  <c r="O25" i="20"/>
  <c r="L15" i="20"/>
  <c r="O15" i="20" s="1"/>
  <c r="M96" i="20"/>
  <c r="M22" i="20"/>
  <c r="P98" i="20"/>
  <c r="O119" i="20"/>
  <c r="I367" i="19"/>
  <c r="K367" i="19" s="1"/>
  <c r="P25" i="20"/>
  <c r="M15" i="20"/>
  <c r="P15" i="20" s="1"/>
  <c r="N43" i="20"/>
  <c r="N41" i="20" s="1"/>
  <c r="P122" i="20"/>
  <c r="M222" i="19"/>
  <c r="M290" i="19"/>
  <c r="P290" i="19" s="1"/>
  <c r="P57" i="20"/>
  <c r="L23" i="20"/>
  <c r="L122" i="20"/>
  <c r="P291" i="20"/>
  <c r="P333" i="21"/>
  <c r="M22" i="21"/>
  <c r="L23" i="19"/>
  <c r="K612" i="19"/>
  <c r="L26" i="20"/>
  <c r="N55" i="20"/>
  <c r="N53" i="20" s="1"/>
  <c r="N22" i="20"/>
  <c r="L98" i="20"/>
  <c r="L24" i="20"/>
  <c r="M140" i="20"/>
  <c r="M337" i="20"/>
  <c r="O337" i="20"/>
  <c r="M14" i="19"/>
  <c r="P14" i="19" s="1"/>
  <c r="M118" i="19"/>
  <c r="M271" i="19"/>
  <c r="M19" i="20"/>
  <c r="K425" i="20"/>
  <c r="P119" i="21"/>
  <c r="M118" i="21"/>
  <c r="O311" i="21"/>
  <c r="K622" i="19"/>
  <c r="M222" i="20"/>
  <c r="K621" i="20"/>
  <c r="K626" i="20"/>
  <c r="K623" i="20"/>
  <c r="P24" i="21"/>
  <c r="M14" i="21"/>
  <c r="P14" i="21" s="1"/>
  <c r="P42" i="21"/>
  <c r="M41" i="21"/>
  <c r="P54" i="21"/>
  <c r="M53" i="21"/>
  <c r="P67" i="21"/>
  <c r="P141" i="21"/>
  <c r="M140" i="21"/>
  <c r="P144" i="21"/>
  <c r="N142" i="21"/>
  <c r="N140" i="21" s="1"/>
  <c r="N22" i="21"/>
  <c r="K377" i="21"/>
  <c r="O401" i="21"/>
  <c r="O102" i="22"/>
  <c r="L26" i="22"/>
  <c r="M310" i="20"/>
  <c r="P310" i="20" s="1"/>
  <c r="P29" i="21"/>
  <c r="M28" i="21"/>
  <c r="P28" i="21" s="1"/>
  <c r="L23" i="21"/>
  <c r="M310" i="21"/>
  <c r="P310" i="21" s="1"/>
  <c r="P312" i="21"/>
  <c r="O437" i="21"/>
  <c r="K465" i="21"/>
  <c r="K481" i="21"/>
  <c r="K497" i="21"/>
  <c r="P31" i="21"/>
  <c r="L57" i="21"/>
  <c r="P224" i="21"/>
  <c r="O251" i="21"/>
  <c r="P272" i="21"/>
  <c r="K343" i="21"/>
  <c r="O457" i="21"/>
  <c r="P32" i="22"/>
  <c r="M30" i="22"/>
  <c r="P30" i="22" s="1"/>
  <c r="N26" i="21"/>
  <c r="N16" i="21" s="1"/>
  <c r="O74" i="21"/>
  <c r="M74" i="21"/>
  <c r="L34" i="21"/>
  <c r="O354" i="21"/>
  <c r="K613" i="20"/>
  <c r="O21" i="21"/>
  <c r="L45" i="21"/>
  <c r="K81" i="21"/>
  <c r="P291" i="21"/>
  <c r="M290" i="21"/>
  <c r="P290" i="21" s="1"/>
  <c r="N292" i="21"/>
  <c r="N290" i="21" s="1"/>
  <c r="K473" i="21"/>
  <c r="P21" i="21"/>
  <c r="M11" i="21"/>
  <c r="M19" i="21"/>
  <c r="O337" i="21"/>
  <c r="M337" i="21"/>
  <c r="P337" i="21" s="1"/>
  <c r="L32" i="21"/>
  <c r="O383" i="21"/>
  <c r="P54" i="22"/>
  <c r="M53" i="22"/>
  <c r="M55" i="20"/>
  <c r="K611" i="20"/>
  <c r="K622" i="20"/>
  <c r="K625" i="20"/>
  <c r="L26" i="21"/>
  <c r="O54" i="21"/>
  <c r="O141" i="21"/>
  <c r="K345" i="21"/>
  <c r="N31" i="21"/>
  <c r="K369" i="21"/>
  <c r="I367" i="21"/>
  <c r="K367" i="21" s="1"/>
  <c r="K426" i="21"/>
  <c r="K533" i="21"/>
  <c r="L24" i="22"/>
  <c r="K164" i="22"/>
  <c r="K189" i="22"/>
  <c r="L224" i="22"/>
  <c r="M220" i="21"/>
  <c r="N252" i="21"/>
  <c r="N250" i="21" s="1"/>
  <c r="M22" i="22"/>
  <c r="N26" i="22"/>
  <c r="N16" i="22" s="1"/>
  <c r="P16" i="22" s="1"/>
  <c r="P272" i="22"/>
  <c r="N290" i="22"/>
  <c r="M14" i="22"/>
  <c r="P14" i="22" s="1"/>
  <c r="P57" i="22"/>
  <c r="L98" i="22"/>
  <c r="O141" i="22"/>
  <c r="O337" i="22"/>
  <c r="O354" i="22"/>
  <c r="L34" i="22"/>
  <c r="K589" i="21"/>
  <c r="O597" i="21"/>
  <c r="L23" i="22"/>
  <c r="P95" i="22"/>
  <c r="P144" i="22"/>
  <c r="P337" i="22"/>
  <c r="K375" i="22"/>
  <c r="L31" i="22"/>
  <c r="N96" i="22"/>
  <c r="N94" i="22" s="1"/>
  <c r="M273" i="22"/>
  <c r="P273" i="22" s="1"/>
  <c r="P275" i="22"/>
  <c r="M19" i="22"/>
  <c r="P21" i="22"/>
  <c r="M11" i="22"/>
  <c r="P25" i="22"/>
  <c r="M15" i="22"/>
  <c r="P15" i="22" s="1"/>
  <c r="P29" i="22"/>
  <c r="M28" i="22"/>
  <c r="P28" i="22" s="1"/>
  <c r="N22" i="22"/>
  <c r="O119" i="22"/>
  <c r="O221" i="22"/>
  <c r="P224" i="22"/>
  <c r="M222" i="22"/>
  <c r="P222" i="22" s="1"/>
  <c r="M250" i="21"/>
  <c r="K573" i="21"/>
  <c r="P31" i="22"/>
  <c r="L275" i="22"/>
  <c r="O352" i="22"/>
  <c r="N32" i="22"/>
  <c r="N30" i="22" s="1"/>
  <c r="K613" i="21"/>
  <c r="M252" i="22"/>
  <c r="K613" i="22"/>
  <c r="K621" i="22"/>
  <c r="K614" i="21"/>
  <c r="K622" i="21"/>
  <c r="L15" i="22"/>
  <c r="O15" i="22" s="1"/>
  <c r="K614" i="22"/>
  <c r="K622" i="22"/>
  <c r="M310" i="22"/>
  <c r="P310" i="22" s="1"/>
  <c r="K617" i="22"/>
  <c r="K625" i="22"/>
  <c r="K612" i="22"/>
  <c r="K620" i="22"/>
  <c r="L252" i="17" l="1"/>
  <c r="P53" i="18"/>
  <c r="K370" i="1"/>
  <c r="K450" i="1"/>
  <c r="L252" i="14"/>
  <c r="O252" i="14" s="1"/>
  <c r="L96" i="13"/>
  <c r="L331" i="16"/>
  <c r="L329" i="16" s="1"/>
  <c r="O329" i="16" s="1"/>
  <c r="P55" i="13"/>
  <c r="P120" i="21"/>
  <c r="M271" i="12"/>
  <c r="P271" i="12" s="1"/>
  <c r="L331" i="22"/>
  <c r="O331" i="22" s="1"/>
  <c r="O333" i="15"/>
  <c r="O30" i="22"/>
  <c r="N118" i="5"/>
  <c r="P118" i="5" s="1"/>
  <c r="L118" i="16"/>
  <c r="O118" i="16" s="1"/>
  <c r="L252" i="4"/>
  <c r="O252" i="4" s="1"/>
  <c r="O314" i="18"/>
  <c r="K265" i="1"/>
  <c r="L43" i="15"/>
  <c r="L41" i="15" s="1"/>
  <c r="O41" i="15" s="1"/>
  <c r="L273" i="6"/>
  <c r="L271" i="6" s="1"/>
  <c r="O271" i="6" s="1"/>
  <c r="K421" i="1"/>
  <c r="K498" i="1"/>
  <c r="L96" i="9"/>
  <c r="O96" i="9" s="1"/>
  <c r="P294" i="1"/>
  <c r="O580" i="1"/>
  <c r="K164" i="1"/>
  <c r="L120" i="21"/>
  <c r="O120" i="21" s="1"/>
  <c r="P120" i="12"/>
  <c r="P254" i="1"/>
  <c r="K213" i="1"/>
  <c r="O275" i="11"/>
  <c r="O314" i="7"/>
  <c r="M66" i="10"/>
  <c r="P66" i="10" s="1"/>
  <c r="L120" i="3"/>
  <c r="O120" i="3" s="1"/>
  <c r="K547" i="1"/>
  <c r="O457" i="1"/>
  <c r="K377" i="1"/>
  <c r="K235" i="1"/>
  <c r="M11" i="1"/>
  <c r="N11" i="12"/>
  <c r="N9" i="12" s="1"/>
  <c r="P21" i="1"/>
  <c r="P118" i="21"/>
  <c r="M94" i="8"/>
  <c r="P94" i="8" s="1"/>
  <c r="M250" i="13"/>
  <c r="P250" i="13" s="1"/>
  <c r="O333" i="12"/>
  <c r="P222" i="7"/>
  <c r="O294" i="18"/>
  <c r="P222" i="5"/>
  <c r="K481" i="1"/>
  <c r="K158" i="1"/>
  <c r="P252" i="6"/>
  <c r="L312" i="11"/>
  <c r="O312" i="11" s="1"/>
  <c r="M310" i="7"/>
  <c r="P310" i="7" s="1"/>
  <c r="P222" i="18"/>
  <c r="N11" i="9"/>
  <c r="N9" i="9" s="1"/>
  <c r="M118" i="7"/>
  <c r="P118" i="7" s="1"/>
  <c r="M66" i="20"/>
  <c r="P66" i="20" s="1"/>
  <c r="M290" i="17"/>
  <c r="P290" i="17" s="1"/>
  <c r="L142" i="6"/>
  <c r="L140" i="6" s="1"/>
  <c r="K82" i="1"/>
  <c r="L96" i="2"/>
  <c r="L94" i="2" s="1"/>
  <c r="M290" i="8"/>
  <c r="P290" i="8" s="1"/>
  <c r="K204" i="1"/>
  <c r="L312" i="14"/>
  <c r="O312" i="14" s="1"/>
  <c r="O45" i="22"/>
  <c r="O34" i="7"/>
  <c r="K285" i="1"/>
  <c r="K87" i="1"/>
  <c r="O26" i="2"/>
  <c r="O333" i="2"/>
  <c r="L222" i="16"/>
  <c r="O222" i="16" s="1"/>
  <c r="L120" i="13"/>
  <c r="O120" i="13" s="1"/>
  <c r="O70" i="16"/>
  <c r="P292" i="15"/>
  <c r="K425" i="1"/>
  <c r="K216" i="1"/>
  <c r="O68" i="21"/>
  <c r="L142" i="21"/>
  <c r="L140" i="21" s="1"/>
  <c r="O140" i="21" s="1"/>
  <c r="O224" i="5"/>
  <c r="K372" i="1"/>
  <c r="O294" i="10"/>
  <c r="P120" i="4"/>
  <c r="O275" i="3"/>
  <c r="O333" i="20"/>
  <c r="P312" i="9"/>
  <c r="K64" i="1"/>
  <c r="K402" i="1"/>
  <c r="N220" i="21"/>
  <c r="P220" i="21" s="1"/>
  <c r="K117" i="1"/>
  <c r="O380" i="1"/>
  <c r="O329" i="4"/>
  <c r="K593" i="1"/>
  <c r="P49" i="7"/>
  <c r="K533" i="1"/>
  <c r="O333" i="18"/>
  <c r="L222" i="6"/>
  <c r="O222" i="6" s="1"/>
  <c r="K199" i="1"/>
  <c r="K632" i="1"/>
  <c r="K108" i="1"/>
  <c r="P41" i="11"/>
  <c r="O582" i="1"/>
  <c r="O312" i="12"/>
  <c r="P43" i="11"/>
  <c r="K634" i="1"/>
  <c r="N11" i="3"/>
  <c r="N9" i="3" s="1"/>
  <c r="K418" i="1"/>
  <c r="K84" i="1"/>
  <c r="K111" i="1"/>
  <c r="O45" i="5"/>
  <c r="O597" i="1"/>
  <c r="M20" i="2"/>
  <c r="M18" i="2" s="1"/>
  <c r="K416" i="1"/>
  <c r="K429" i="1"/>
  <c r="K133" i="1"/>
  <c r="O57" i="3"/>
  <c r="P122" i="1"/>
  <c r="O144" i="10"/>
  <c r="O551" i="1"/>
  <c r="K424" i="1"/>
  <c r="K595" i="1"/>
  <c r="P98" i="1"/>
  <c r="K186" i="1"/>
  <c r="L312" i="19"/>
  <c r="L120" i="11"/>
  <c r="O120" i="11" s="1"/>
  <c r="N12" i="13"/>
  <c r="N10" i="13" s="1"/>
  <c r="O31" i="9"/>
  <c r="P252" i="17"/>
  <c r="P68" i="16"/>
  <c r="L55" i="5"/>
  <c r="L53" i="5" s="1"/>
  <c r="P273" i="5"/>
  <c r="P55" i="22"/>
  <c r="P55" i="16"/>
  <c r="K482" i="1"/>
  <c r="O122" i="2"/>
  <c r="P250" i="17"/>
  <c r="L331" i="14"/>
  <c r="L329" i="14" s="1"/>
  <c r="O329" i="14" s="1"/>
  <c r="L68" i="9"/>
  <c r="O68" i="9" s="1"/>
  <c r="L68" i="5"/>
  <c r="O68" i="5" s="1"/>
  <c r="K185" i="1"/>
  <c r="O331" i="2"/>
  <c r="N12" i="15"/>
  <c r="N10" i="15" s="1"/>
  <c r="N8" i="15" s="1"/>
  <c r="O252" i="17"/>
  <c r="L222" i="17"/>
  <c r="L220" i="17" s="1"/>
  <c r="O220" i="17" s="1"/>
  <c r="K551" i="1"/>
  <c r="K176" i="1"/>
  <c r="L312" i="2"/>
  <c r="L310" i="2" s="1"/>
  <c r="L68" i="19"/>
  <c r="O68" i="19" s="1"/>
  <c r="K422" i="1"/>
  <c r="M310" i="8"/>
  <c r="P310" i="8" s="1"/>
  <c r="P43" i="13"/>
  <c r="P43" i="19"/>
  <c r="K631" i="1"/>
  <c r="K80" i="1"/>
  <c r="K149" i="1"/>
  <c r="K396" i="1"/>
  <c r="K426" i="1"/>
  <c r="O34" i="21"/>
  <c r="L292" i="21"/>
  <c r="O292" i="21" s="1"/>
  <c r="O383" i="1"/>
  <c r="L43" i="19"/>
  <c r="L41" i="19" s="1"/>
  <c r="P43" i="14"/>
  <c r="K267" i="1"/>
  <c r="O34" i="2"/>
  <c r="O354" i="1"/>
  <c r="K340" i="1"/>
  <c r="K173" i="1"/>
  <c r="M118" i="13"/>
  <c r="P118" i="13" s="1"/>
  <c r="K633" i="1"/>
  <c r="L142" i="5"/>
  <c r="L140" i="5" s="1"/>
  <c r="O140" i="5" s="1"/>
  <c r="L273" i="5"/>
  <c r="O273" i="5" s="1"/>
  <c r="L55" i="2"/>
  <c r="O55" i="2" s="1"/>
  <c r="N20" i="17"/>
  <c r="N18" i="17" s="1"/>
  <c r="K343" i="1"/>
  <c r="O224" i="13"/>
  <c r="P331" i="22"/>
  <c r="O254" i="11"/>
  <c r="L312" i="8"/>
  <c r="O312" i="8" s="1"/>
  <c r="O337" i="1"/>
  <c r="L96" i="17"/>
  <c r="L94" i="17" s="1"/>
  <c r="O94" i="17" s="1"/>
  <c r="N28" i="6"/>
  <c r="K350" i="1"/>
  <c r="O30" i="4"/>
  <c r="O57" i="19"/>
  <c r="O70" i="14"/>
  <c r="L271" i="13"/>
  <c r="O271" i="13" s="1"/>
  <c r="O566" i="1"/>
  <c r="P222" i="13"/>
  <c r="N140" i="14"/>
  <c r="P140" i="14" s="1"/>
  <c r="K575" i="1"/>
  <c r="K628" i="1"/>
  <c r="M290" i="22"/>
  <c r="P290" i="22" s="1"/>
  <c r="L271" i="12"/>
  <c r="O271" i="12" s="1"/>
  <c r="O57" i="7"/>
  <c r="K451" i="1"/>
  <c r="O333" i="17"/>
  <c r="M118" i="16"/>
  <c r="P118" i="16" s="1"/>
  <c r="M290" i="6"/>
  <c r="P290" i="6" s="1"/>
  <c r="L222" i="7"/>
  <c r="L220" i="7" s="1"/>
  <c r="O220" i="7" s="1"/>
  <c r="L142" i="4"/>
  <c r="L140" i="4" s="1"/>
  <c r="O140" i="4" s="1"/>
  <c r="P68" i="17"/>
  <c r="O34" i="14"/>
  <c r="M94" i="22"/>
  <c r="P94" i="22" s="1"/>
  <c r="O254" i="16"/>
  <c r="P26" i="17"/>
  <c r="N16" i="17"/>
  <c r="P16" i="17" s="1"/>
  <c r="O70" i="13"/>
  <c r="L11" i="12"/>
  <c r="L9" i="12" s="1"/>
  <c r="L68" i="8"/>
  <c r="L66" i="8" s="1"/>
  <c r="O66" i="8" s="1"/>
  <c r="K474" i="1"/>
  <c r="O254" i="3"/>
  <c r="L312" i="17"/>
  <c r="O312" i="17" s="1"/>
  <c r="O142" i="10"/>
  <c r="O31" i="12"/>
  <c r="P16" i="9"/>
  <c r="L250" i="5"/>
  <c r="O250" i="5" s="1"/>
  <c r="K622" i="1"/>
  <c r="K591" i="1"/>
  <c r="O349" i="1"/>
  <c r="P45" i="1"/>
  <c r="K304" i="1"/>
  <c r="O555" i="1"/>
  <c r="P142" i="13"/>
  <c r="L29" i="11"/>
  <c r="O29" i="11" s="1"/>
  <c r="O254" i="5"/>
  <c r="L312" i="6"/>
  <c r="O312" i="6" s="1"/>
  <c r="P140" i="7"/>
  <c r="K499" i="1"/>
  <c r="P314" i="1"/>
  <c r="P144" i="1"/>
  <c r="O57" i="20"/>
  <c r="O275" i="18"/>
  <c r="N11" i="13"/>
  <c r="N9" i="13" s="1"/>
  <c r="O254" i="12"/>
  <c r="P273" i="6"/>
  <c r="P329" i="3"/>
  <c r="K200" i="1"/>
  <c r="L96" i="4"/>
  <c r="L94" i="4" s="1"/>
  <c r="O94" i="4" s="1"/>
  <c r="K417" i="1"/>
  <c r="N12" i="18"/>
  <c r="N10" i="18" s="1"/>
  <c r="O333" i="4"/>
  <c r="O404" i="1"/>
  <c r="K138" i="1"/>
  <c r="N43" i="1"/>
  <c r="N41" i="1" s="1"/>
  <c r="K368" i="1"/>
  <c r="O599" i="1"/>
  <c r="L66" i="16"/>
  <c r="O66" i="16" s="1"/>
  <c r="O273" i="18"/>
  <c r="M250" i="20"/>
  <c r="P250" i="20" s="1"/>
  <c r="P271" i="16"/>
  <c r="M271" i="14"/>
  <c r="P271" i="14" s="1"/>
  <c r="L96" i="7"/>
  <c r="O96" i="7" s="1"/>
  <c r="P55" i="4"/>
  <c r="O57" i="6"/>
  <c r="O406" i="1"/>
  <c r="O254" i="18"/>
  <c r="M310" i="16"/>
  <c r="P310" i="16" s="1"/>
  <c r="P273" i="16"/>
  <c r="P252" i="16"/>
  <c r="M66" i="5"/>
  <c r="P66" i="5" s="1"/>
  <c r="N29" i="5"/>
  <c r="N28" i="5" s="1"/>
  <c r="L14" i="3"/>
  <c r="O14" i="3" s="1"/>
  <c r="K306" i="1"/>
  <c r="O26" i="3"/>
  <c r="K560" i="1"/>
  <c r="K466" i="1"/>
  <c r="O329" i="11"/>
  <c r="O584" i="1"/>
  <c r="O347" i="1"/>
  <c r="O49" i="1"/>
  <c r="K92" i="1"/>
  <c r="K580" i="1"/>
  <c r="O601" i="1"/>
  <c r="L118" i="18"/>
  <c r="O118" i="18" s="1"/>
  <c r="K630" i="1"/>
  <c r="P290" i="2"/>
  <c r="K113" i="1"/>
  <c r="O45" i="9"/>
  <c r="O331" i="4"/>
  <c r="P142" i="10"/>
  <c r="O252" i="18"/>
  <c r="L68" i="10"/>
  <c r="O68" i="10" s="1"/>
  <c r="P43" i="15"/>
  <c r="N29" i="15"/>
  <c r="N28" i="15" s="1"/>
  <c r="L140" i="10"/>
  <c r="O140" i="10" s="1"/>
  <c r="N11" i="4"/>
  <c r="N9" i="4" s="1"/>
  <c r="P273" i="21"/>
  <c r="O68" i="3"/>
  <c r="P271" i="21"/>
  <c r="O314" i="21"/>
  <c r="O122" i="16"/>
  <c r="P142" i="4"/>
  <c r="O144" i="12"/>
  <c r="K380" i="1"/>
  <c r="K577" i="1"/>
  <c r="M96" i="16"/>
  <c r="M94" i="16" s="1"/>
  <c r="P94" i="16" s="1"/>
  <c r="O568" i="1"/>
  <c r="K266" i="1"/>
  <c r="O96" i="21"/>
  <c r="L94" i="21"/>
  <c r="O94" i="21" s="1"/>
  <c r="P331" i="11"/>
  <c r="O45" i="6"/>
  <c r="O45" i="3"/>
  <c r="L312" i="4"/>
  <c r="O312" i="4" s="1"/>
  <c r="K86" i="1"/>
  <c r="O34" i="18"/>
  <c r="P298" i="1"/>
  <c r="K435" i="1"/>
  <c r="K597" i="1"/>
  <c r="O98" i="21"/>
  <c r="L142" i="22"/>
  <c r="O142" i="22" s="1"/>
  <c r="O34" i="20"/>
  <c r="K397" i="1"/>
  <c r="N28" i="3"/>
  <c r="L292" i="2"/>
  <c r="L290" i="2" s="1"/>
  <c r="O290" i="2" s="1"/>
  <c r="P222" i="6"/>
  <c r="O275" i="13"/>
  <c r="N28" i="9"/>
  <c r="O314" i="3"/>
  <c r="K626" i="1"/>
  <c r="O535" i="1"/>
  <c r="K83" i="1"/>
  <c r="O273" i="16"/>
  <c r="K381" i="1"/>
  <c r="P43" i="18"/>
  <c r="M220" i="18"/>
  <c r="P220" i="18" s="1"/>
  <c r="L312" i="16"/>
  <c r="O312" i="16" s="1"/>
  <c r="M53" i="8"/>
  <c r="P53" i="8" s="1"/>
  <c r="O224" i="4"/>
  <c r="P222" i="2"/>
  <c r="O401" i="1"/>
  <c r="O533" i="1"/>
  <c r="P331" i="7"/>
  <c r="K109" i="1"/>
  <c r="P70" i="1"/>
  <c r="O333" i="6"/>
  <c r="L16" i="3"/>
  <c r="O16" i="3" s="1"/>
  <c r="P120" i="22"/>
  <c r="N20" i="2"/>
  <c r="N18" i="2" s="1"/>
  <c r="O30" i="9"/>
  <c r="K564" i="1"/>
  <c r="K289" i="1"/>
  <c r="O70" i="21"/>
  <c r="O144" i="2"/>
  <c r="O224" i="21"/>
  <c r="O275" i="20"/>
  <c r="P273" i="18"/>
  <c r="O140" i="12"/>
  <c r="L11" i="11"/>
  <c r="L9" i="11" s="1"/>
  <c r="O250" i="12"/>
  <c r="L11" i="9"/>
  <c r="L9" i="9" s="1"/>
  <c r="O122" i="7"/>
  <c r="L68" i="7"/>
  <c r="O68" i="7" s="1"/>
  <c r="L120" i="5"/>
  <c r="O120" i="5" s="1"/>
  <c r="L43" i="4"/>
  <c r="O43" i="4" s="1"/>
  <c r="L252" i="6"/>
  <c r="O252" i="6" s="1"/>
  <c r="L43" i="20"/>
  <c r="L41" i="20" s="1"/>
  <c r="O41" i="20" s="1"/>
  <c r="L252" i="10"/>
  <c r="O252" i="10" s="1"/>
  <c r="P252" i="3"/>
  <c r="P333" i="1"/>
  <c r="O275" i="2"/>
  <c r="L273" i="19"/>
  <c r="L271" i="19" s="1"/>
  <c r="O271" i="19" s="1"/>
  <c r="K201" i="1"/>
  <c r="O224" i="8"/>
  <c r="P331" i="12"/>
  <c r="N12" i="2"/>
  <c r="N10" i="2" s="1"/>
  <c r="K132" i="1"/>
  <c r="L252" i="19"/>
  <c r="O252" i="19" s="1"/>
  <c r="O144" i="20"/>
  <c r="L271" i="16"/>
  <c r="O271" i="16" s="1"/>
  <c r="L142" i="13"/>
  <c r="O142" i="13" s="1"/>
  <c r="O333" i="11"/>
  <c r="O142" i="12"/>
  <c r="L271" i="11"/>
  <c r="O271" i="11" s="1"/>
  <c r="O252" i="12"/>
  <c r="P252" i="12"/>
  <c r="O252" i="3"/>
  <c r="K215" i="1"/>
  <c r="K473" i="1"/>
  <c r="O537" i="1"/>
  <c r="L68" i="20"/>
  <c r="L66" i="20" s="1"/>
  <c r="O66" i="20" s="1"/>
  <c r="L96" i="18"/>
  <c r="O96" i="18" s="1"/>
  <c r="O57" i="16"/>
  <c r="L120" i="14"/>
  <c r="O120" i="14" s="1"/>
  <c r="L331" i="8"/>
  <c r="O331" i="8" s="1"/>
  <c r="O98" i="5"/>
  <c r="L331" i="3"/>
  <c r="L329" i="3" s="1"/>
  <c r="O329" i="3" s="1"/>
  <c r="O275" i="16"/>
  <c r="P142" i="8"/>
  <c r="O439" i="1"/>
  <c r="K398" i="1"/>
  <c r="O273" i="2"/>
  <c r="P55" i="15"/>
  <c r="P26" i="9"/>
  <c r="L118" i="15"/>
  <c r="O118" i="15" s="1"/>
  <c r="P53" i="15"/>
  <c r="O122" i="15"/>
  <c r="L120" i="12"/>
  <c r="O120" i="12" s="1"/>
  <c r="M310" i="4"/>
  <c r="P310" i="4" s="1"/>
  <c r="L11" i="2"/>
  <c r="O11" i="2" s="1"/>
  <c r="O16" i="2"/>
  <c r="N28" i="13"/>
  <c r="P22" i="3"/>
  <c r="K93" i="1"/>
  <c r="O292" i="18"/>
  <c r="K249" i="1"/>
  <c r="P271" i="6"/>
  <c r="K420" i="1"/>
  <c r="K65" i="1"/>
  <c r="O435" i="1"/>
  <c r="O455" i="1"/>
  <c r="K270" i="1"/>
  <c r="P142" i="17"/>
  <c r="P22" i="2"/>
  <c r="O254" i="20"/>
  <c r="M66" i="17"/>
  <c r="P66" i="17" s="1"/>
  <c r="O122" i="18"/>
  <c r="P140" i="17"/>
  <c r="P337" i="9"/>
  <c r="M331" i="9"/>
  <c r="P331" i="9" s="1"/>
  <c r="M250" i="9"/>
  <c r="P250" i="9" s="1"/>
  <c r="O31" i="2"/>
  <c r="P94" i="12"/>
  <c r="O32" i="2"/>
  <c r="N20" i="3"/>
  <c r="N18" i="3" s="1"/>
  <c r="K264" i="1"/>
  <c r="P41" i="2"/>
  <c r="L220" i="3"/>
  <c r="O220" i="3" s="1"/>
  <c r="O222" i="3"/>
  <c r="L220" i="18"/>
  <c r="O220" i="18" s="1"/>
  <c r="O222" i="18"/>
  <c r="P43" i="2"/>
  <c r="P273" i="8"/>
  <c r="K465" i="1"/>
  <c r="N12" i="3"/>
  <c r="N10" i="3" s="1"/>
  <c r="K464" i="1"/>
  <c r="P102" i="2"/>
  <c r="L120" i="22"/>
  <c r="P43" i="8"/>
  <c r="K419" i="1"/>
  <c r="M271" i="13"/>
  <c r="P271" i="13" s="1"/>
  <c r="P220" i="7"/>
  <c r="L292" i="9"/>
  <c r="O292" i="9" s="1"/>
  <c r="L96" i="10"/>
  <c r="O96" i="10" s="1"/>
  <c r="K110" i="1"/>
  <c r="L273" i="9"/>
  <c r="L271" i="9" s="1"/>
  <c r="O271" i="9" s="1"/>
  <c r="K219" i="1"/>
  <c r="K625" i="1"/>
  <c r="O74" i="1"/>
  <c r="O294" i="4"/>
  <c r="K401" i="1"/>
  <c r="O70" i="18"/>
  <c r="L66" i="21"/>
  <c r="O66" i="21" s="1"/>
  <c r="P329" i="22"/>
  <c r="O333" i="21"/>
  <c r="M66" i="19"/>
  <c r="P66" i="19" s="1"/>
  <c r="L331" i="19"/>
  <c r="O331" i="19" s="1"/>
  <c r="L96" i="19"/>
  <c r="O96" i="19" s="1"/>
  <c r="L292" i="17"/>
  <c r="O292" i="17" s="1"/>
  <c r="P292" i="18"/>
  <c r="P43" i="16"/>
  <c r="M94" i="13"/>
  <c r="P94" i="13" s="1"/>
  <c r="O294" i="12"/>
  <c r="M220" i="6"/>
  <c r="P220" i="6" s="1"/>
  <c r="L14" i="9"/>
  <c r="O14" i="9" s="1"/>
  <c r="N140" i="8"/>
  <c r="P140" i="8" s="1"/>
  <c r="P252" i="4"/>
  <c r="O142" i="8"/>
  <c r="O254" i="8"/>
  <c r="M96" i="2"/>
  <c r="M94" i="2" s="1"/>
  <c r="P22" i="15"/>
  <c r="O275" i="12"/>
  <c r="O98" i="16"/>
  <c r="K620" i="1"/>
  <c r="K81" i="1"/>
  <c r="P55" i="21"/>
  <c r="K430" i="1"/>
  <c r="O31" i="18"/>
  <c r="O254" i="15"/>
  <c r="M250" i="7"/>
  <c r="P250" i="7" s="1"/>
  <c r="M43" i="7"/>
  <c r="P43" i="7" s="1"/>
  <c r="L250" i="11"/>
  <c r="O250" i="11" s="1"/>
  <c r="M271" i="7"/>
  <c r="P271" i="7" s="1"/>
  <c r="L142" i="17"/>
  <c r="O142" i="17" s="1"/>
  <c r="O275" i="15"/>
  <c r="P273" i="15"/>
  <c r="M94" i="15"/>
  <c r="P94" i="15" s="1"/>
  <c r="L96" i="15"/>
  <c r="L94" i="15" s="1"/>
  <c r="O94" i="15" s="1"/>
  <c r="L290" i="10"/>
  <c r="O290" i="10" s="1"/>
  <c r="P331" i="13"/>
  <c r="N11" i="10"/>
  <c r="N9" i="10" s="1"/>
  <c r="O275" i="10"/>
  <c r="L220" i="8"/>
  <c r="O220" i="8" s="1"/>
  <c r="O26" i="8"/>
  <c r="K345" i="1"/>
  <c r="P331" i="3"/>
  <c r="K376" i="1"/>
  <c r="M66" i="22"/>
  <c r="P66" i="22" s="1"/>
  <c r="P43" i="12"/>
  <c r="K88" i="1"/>
  <c r="K589" i="1"/>
  <c r="K621" i="1"/>
  <c r="O298" i="1"/>
  <c r="L43" i="14"/>
  <c r="O43" i="14" s="1"/>
  <c r="L292" i="13"/>
  <c r="O31" i="17"/>
  <c r="L29" i="17"/>
  <c r="O29" i="17" s="1"/>
  <c r="P331" i="17"/>
  <c r="P140" i="20"/>
  <c r="M290" i="20"/>
  <c r="P290" i="20" s="1"/>
  <c r="L292" i="19"/>
  <c r="L290" i="19" s="1"/>
  <c r="O290" i="19" s="1"/>
  <c r="P271" i="18"/>
  <c r="O11" i="18"/>
  <c r="P140" i="16"/>
  <c r="O294" i="15"/>
  <c r="L14" i="12"/>
  <c r="O14" i="12" s="1"/>
  <c r="L222" i="10"/>
  <c r="O222" i="10" s="1"/>
  <c r="N11" i="7"/>
  <c r="N9" i="7" s="1"/>
  <c r="O314" i="9"/>
  <c r="L331" i="5"/>
  <c r="L329" i="5" s="1"/>
  <c r="O329" i="5" s="1"/>
  <c r="K449" i="1"/>
  <c r="O224" i="3"/>
  <c r="L273" i="4"/>
  <c r="O273" i="4" s="1"/>
  <c r="O68" i="17"/>
  <c r="O224" i="18"/>
  <c r="O26" i="15"/>
  <c r="O98" i="12"/>
  <c r="O224" i="11"/>
  <c r="L96" i="11"/>
  <c r="O96" i="11" s="1"/>
  <c r="K85" i="1"/>
  <c r="K341" i="1"/>
  <c r="M271" i="9"/>
  <c r="P271" i="9" s="1"/>
  <c r="P292" i="2"/>
  <c r="O66" i="17"/>
  <c r="P140" i="9"/>
  <c r="L120" i="6"/>
  <c r="L118" i="6" s="1"/>
  <c r="O118" i="6" s="1"/>
  <c r="L29" i="18"/>
  <c r="O29" i="18" s="1"/>
  <c r="P220" i="4"/>
  <c r="K624" i="1"/>
  <c r="L312" i="22"/>
  <c r="O312" i="22" s="1"/>
  <c r="N41" i="21"/>
  <c r="P142" i="20"/>
  <c r="P312" i="18"/>
  <c r="M290" i="16"/>
  <c r="P290" i="16" s="1"/>
  <c r="M331" i="19"/>
  <c r="M329" i="19" s="1"/>
  <c r="P329" i="19" s="1"/>
  <c r="P53" i="21"/>
  <c r="O140" i="20"/>
  <c r="M310" i="19"/>
  <c r="P310" i="19" s="1"/>
  <c r="O142" i="20"/>
  <c r="P310" i="18"/>
  <c r="M118" i="14"/>
  <c r="P118" i="14" s="1"/>
  <c r="O314" i="12"/>
  <c r="M118" i="9"/>
  <c r="P118" i="9" s="1"/>
  <c r="P142" i="9"/>
  <c r="O32" i="6"/>
  <c r="P273" i="4"/>
  <c r="L312" i="10"/>
  <c r="O312" i="10" s="1"/>
  <c r="N20" i="13"/>
  <c r="N18" i="13" s="1"/>
  <c r="O102" i="1"/>
  <c r="K623" i="1"/>
  <c r="L68" i="2"/>
  <c r="K427" i="1"/>
  <c r="O222" i="14"/>
  <c r="N28" i="7"/>
  <c r="N28" i="4"/>
  <c r="N28" i="11"/>
  <c r="N28" i="14"/>
  <c r="K189" i="1"/>
  <c r="O220" i="14"/>
  <c r="O271" i="10"/>
  <c r="O273" i="10"/>
  <c r="P273" i="3"/>
  <c r="P331" i="2"/>
  <c r="O254" i="2"/>
  <c r="N66" i="3"/>
  <c r="O66" i="3" s="1"/>
  <c r="O294" i="22"/>
  <c r="P224" i="1"/>
  <c r="O32" i="4"/>
  <c r="L55" i="10"/>
  <c r="O55" i="10" s="1"/>
  <c r="L55" i="8"/>
  <c r="K455" i="1"/>
  <c r="P142" i="16"/>
  <c r="L290" i="20"/>
  <c r="O290" i="20" s="1"/>
  <c r="O275" i="21"/>
  <c r="P271" i="19"/>
  <c r="L292" i="14"/>
  <c r="L290" i="14" s="1"/>
  <c r="O290" i="14" s="1"/>
  <c r="P292" i="12"/>
  <c r="M310" i="12"/>
  <c r="P310" i="12" s="1"/>
  <c r="O333" i="10"/>
  <c r="N32" i="1"/>
  <c r="N30" i="1" s="1"/>
  <c r="P273" i="19"/>
  <c r="O32" i="19"/>
  <c r="L43" i="18"/>
  <c r="O43" i="18" s="1"/>
  <c r="M118" i="15"/>
  <c r="P118" i="15" s="1"/>
  <c r="M290" i="10"/>
  <c r="P290" i="10" s="1"/>
  <c r="N37" i="12"/>
  <c r="P142" i="5"/>
  <c r="K635" i="1"/>
  <c r="P53" i="14"/>
  <c r="P96" i="4"/>
  <c r="O553" i="1"/>
  <c r="P331" i="15"/>
  <c r="L312" i="15"/>
  <c r="K629" i="1"/>
  <c r="L271" i="20"/>
  <c r="O271" i="20" s="1"/>
  <c r="O30" i="19"/>
  <c r="O224" i="20"/>
  <c r="P55" i="14"/>
  <c r="N11" i="11"/>
  <c r="N9" i="11" s="1"/>
  <c r="P273" i="10"/>
  <c r="O34" i="8"/>
  <c r="L22" i="4"/>
  <c r="L12" i="4" s="1"/>
  <c r="O34" i="10"/>
  <c r="O459" i="1"/>
  <c r="L312" i="13"/>
  <c r="O312" i="13" s="1"/>
  <c r="L118" i="7"/>
  <c r="O118" i="7" s="1"/>
  <c r="O331" i="6"/>
  <c r="P275" i="1"/>
  <c r="O68" i="15"/>
  <c r="L66" i="15"/>
  <c r="O66" i="15" s="1"/>
  <c r="O70" i="17"/>
  <c r="M329" i="15"/>
  <c r="P329" i="15" s="1"/>
  <c r="O57" i="11"/>
  <c r="P53" i="9"/>
  <c r="P292" i="5"/>
  <c r="L28" i="9"/>
  <c r="O34" i="19"/>
  <c r="M250" i="18"/>
  <c r="P250" i="18" s="1"/>
  <c r="L13" i="11"/>
  <c r="O13" i="11" s="1"/>
  <c r="P43" i="6"/>
  <c r="M20" i="7"/>
  <c r="M18" i="7" s="1"/>
  <c r="P55" i="9"/>
  <c r="N20" i="15"/>
  <c r="N18" i="15" s="1"/>
  <c r="L14" i="11"/>
  <c r="O14" i="11" s="1"/>
  <c r="N28" i="10"/>
  <c r="N11" i="14"/>
  <c r="N9" i="14" s="1"/>
  <c r="N28" i="12"/>
  <c r="P22" i="7"/>
  <c r="M140" i="5"/>
  <c r="P140" i="5" s="1"/>
  <c r="O34" i="3"/>
  <c r="L31" i="1"/>
  <c r="L11" i="1" s="1"/>
  <c r="L9" i="1" s="1"/>
  <c r="O34" i="9"/>
  <c r="L120" i="19"/>
  <c r="O120" i="19" s="1"/>
  <c r="P96" i="12"/>
  <c r="M66" i="12"/>
  <c r="P66" i="12" s="1"/>
  <c r="L22" i="3"/>
  <c r="O22" i="3" s="1"/>
  <c r="K229" i="1"/>
  <c r="L142" i="15"/>
  <c r="L140" i="15" s="1"/>
  <c r="O140" i="15" s="1"/>
  <c r="P55" i="18"/>
  <c r="O68" i="18"/>
  <c r="P22" i="10"/>
  <c r="L273" i="7"/>
  <c r="O273" i="7" s="1"/>
  <c r="L312" i="5"/>
  <c r="L66" i="18"/>
  <c r="O66" i="18" s="1"/>
  <c r="M290" i="18"/>
  <c r="P290" i="18" s="1"/>
  <c r="L22" i="15"/>
  <c r="O22" i="15" s="1"/>
  <c r="O70" i="15"/>
  <c r="L120" i="10"/>
  <c r="M12" i="10"/>
  <c r="M10" i="10" s="1"/>
  <c r="K324" i="1"/>
  <c r="O55" i="19"/>
  <c r="P220" i="9"/>
  <c r="P16" i="10"/>
  <c r="O329" i="6"/>
  <c r="P290" i="5"/>
  <c r="O43" i="5"/>
  <c r="O32" i="9"/>
  <c r="M271" i="22"/>
  <c r="P271" i="22" s="1"/>
  <c r="L14" i="21"/>
  <c r="O14" i="21" s="1"/>
  <c r="L142" i="19"/>
  <c r="O142" i="19" s="1"/>
  <c r="O96" i="12"/>
  <c r="O24" i="11"/>
  <c r="L120" i="9"/>
  <c r="L118" i="9" s="1"/>
  <c r="O118" i="9" s="1"/>
  <c r="P250" i="3"/>
  <c r="L30" i="2"/>
  <c r="O30" i="2" s="1"/>
  <c r="L314" i="1"/>
  <c r="O314" i="1" s="1"/>
  <c r="P142" i="3"/>
  <c r="N11" i="16"/>
  <c r="N9" i="16" s="1"/>
  <c r="N29" i="16"/>
  <c r="N28" i="16" s="1"/>
  <c r="O70" i="22"/>
  <c r="O34" i="22"/>
  <c r="M290" i="14"/>
  <c r="P290" i="14" s="1"/>
  <c r="P140" i="10"/>
  <c r="N37" i="7"/>
  <c r="L68" i="12"/>
  <c r="O70" i="12"/>
  <c r="P26" i="10"/>
  <c r="O55" i="6"/>
  <c r="P222" i="3"/>
  <c r="N34" i="1"/>
  <c r="N14" i="1" s="1"/>
  <c r="P252" i="10"/>
  <c r="M250" i="10"/>
  <c r="P250" i="10" s="1"/>
  <c r="P292" i="3"/>
  <c r="M290" i="3"/>
  <c r="P290" i="3" s="1"/>
  <c r="O30" i="6"/>
  <c r="P220" i="3"/>
  <c r="O16" i="18"/>
  <c r="M94" i="14"/>
  <c r="P94" i="14" s="1"/>
  <c r="O32" i="10"/>
  <c r="O331" i="10"/>
  <c r="L220" i="5"/>
  <c r="O220" i="5" s="1"/>
  <c r="N33" i="1"/>
  <c r="N13" i="1" s="1"/>
  <c r="O34" i="6"/>
  <c r="N29" i="22"/>
  <c r="N28" i="22" s="1"/>
  <c r="N11" i="22"/>
  <c r="N9" i="22" s="1"/>
  <c r="O331" i="11"/>
  <c r="P142" i="22"/>
  <c r="O26" i="18"/>
  <c r="O68" i="13"/>
  <c r="M41" i="12"/>
  <c r="P41" i="12" s="1"/>
  <c r="O30" i="10"/>
  <c r="O34" i="11"/>
  <c r="N12" i="17"/>
  <c r="P331" i="10"/>
  <c r="P329" i="8"/>
  <c r="P331" i="8"/>
  <c r="L13" i="4"/>
  <c r="O13" i="4" s="1"/>
  <c r="O273" i="15"/>
  <c r="O57" i="15"/>
  <c r="L55" i="15"/>
  <c r="N41" i="19"/>
  <c r="P41" i="19" s="1"/>
  <c r="N20" i="18"/>
  <c r="N18" i="18" s="1"/>
  <c r="L290" i="18"/>
  <c r="O290" i="18" s="1"/>
  <c r="N53" i="6"/>
  <c r="P53" i="6" s="1"/>
  <c r="N31" i="1"/>
  <c r="N29" i="1" s="1"/>
  <c r="O250" i="3"/>
  <c r="O31" i="15"/>
  <c r="L29" i="15"/>
  <c r="O29" i="15" s="1"/>
  <c r="L96" i="14"/>
  <c r="O98" i="14"/>
  <c r="L222" i="9"/>
  <c r="L220" i="9" s="1"/>
  <c r="O220" i="9" s="1"/>
  <c r="O224" i="9"/>
  <c r="O250" i="15"/>
  <c r="M20" i="15"/>
  <c r="N252" i="1"/>
  <c r="M140" i="3"/>
  <c r="P140" i="3" s="1"/>
  <c r="P120" i="19"/>
  <c r="N118" i="19"/>
  <c r="P118" i="19" s="1"/>
  <c r="N29" i="17"/>
  <c r="N28" i="17" s="1"/>
  <c r="N11" i="17"/>
  <c r="N9" i="17" s="1"/>
  <c r="L142" i="7"/>
  <c r="O144" i="7"/>
  <c r="L14" i="15"/>
  <c r="O14" i="15" s="1"/>
  <c r="O34" i="15"/>
  <c r="O254" i="22"/>
  <c r="P222" i="19"/>
  <c r="M53" i="16"/>
  <c r="P53" i="16" s="1"/>
  <c r="O252" i="15"/>
  <c r="L290" i="12"/>
  <c r="O290" i="12" s="1"/>
  <c r="L43" i="8"/>
  <c r="L41" i="8" s="1"/>
  <c r="O292" i="22"/>
  <c r="L290" i="22"/>
  <c r="O290" i="22" s="1"/>
  <c r="L142" i="16"/>
  <c r="O144" i="16"/>
  <c r="M26" i="19"/>
  <c r="M16" i="19" s="1"/>
  <c r="P26" i="15"/>
  <c r="O333" i="7"/>
  <c r="L331" i="7"/>
  <c r="P222" i="10"/>
  <c r="N22" i="1"/>
  <c r="P329" i="18"/>
  <c r="P96" i="18"/>
  <c r="M94" i="18"/>
  <c r="P94" i="18" s="1"/>
  <c r="P68" i="11"/>
  <c r="M66" i="11"/>
  <c r="P66" i="11" s="1"/>
  <c r="O294" i="6"/>
  <c r="L292" i="6"/>
  <c r="O31" i="20"/>
  <c r="N11" i="19"/>
  <c r="N9" i="19" s="1"/>
  <c r="M310" i="15"/>
  <c r="P310" i="15" s="1"/>
  <c r="L66" i="14"/>
  <c r="O66" i="14" s="1"/>
  <c r="P16" i="15"/>
  <c r="L250" i="14"/>
  <c r="O250" i="14" s="1"/>
  <c r="M329" i="13"/>
  <c r="P329" i="13" s="1"/>
  <c r="L14" i="10"/>
  <c r="O14" i="10" s="1"/>
  <c r="O120" i="2"/>
  <c r="P43" i="22"/>
  <c r="M41" i="22"/>
  <c r="P41" i="22" s="1"/>
  <c r="L29" i="21"/>
  <c r="O29" i="21" s="1"/>
  <c r="O31" i="21"/>
  <c r="O45" i="12"/>
  <c r="L43" i="12"/>
  <c r="O70" i="11"/>
  <c r="L68" i="11"/>
  <c r="O333" i="9"/>
  <c r="L331" i="9"/>
  <c r="L329" i="9" s="1"/>
  <c r="O329" i="9" s="1"/>
  <c r="K423" i="1"/>
  <c r="K428" i="1"/>
  <c r="P142" i="7"/>
  <c r="L11" i="20"/>
  <c r="L9" i="20" s="1"/>
  <c r="M329" i="17"/>
  <c r="P329" i="17" s="1"/>
  <c r="O271" i="15"/>
  <c r="P22" i="16"/>
  <c r="L22" i="14"/>
  <c r="L20" i="14" s="1"/>
  <c r="L18" i="14" s="1"/>
  <c r="L66" i="13"/>
  <c r="O66" i="13" s="1"/>
  <c r="M290" i="11"/>
  <c r="P290" i="11" s="1"/>
  <c r="L275" i="1"/>
  <c r="O275" i="1" s="1"/>
  <c r="L24" i="1"/>
  <c r="O24" i="1" s="1"/>
  <c r="L120" i="17"/>
  <c r="L118" i="17" s="1"/>
  <c r="O122" i="17"/>
  <c r="L55" i="18"/>
  <c r="O57" i="18"/>
  <c r="L273" i="17"/>
  <c r="L271" i="17" s="1"/>
  <c r="O275" i="17"/>
  <c r="N11" i="6"/>
  <c r="N9" i="6" s="1"/>
  <c r="M329" i="7"/>
  <c r="P329" i="7" s="1"/>
  <c r="P53" i="22"/>
  <c r="O329" i="18"/>
  <c r="P222" i="16"/>
  <c r="P220" i="10"/>
  <c r="P271" i="10"/>
  <c r="L22" i="7"/>
  <c r="L20" i="7" s="1"/>
  <c r="L22" i="6"/>
  <c r="L20" i="6" s="1"/>
  <c r="L18" i="6" s="1"/>
  <c r="M102" i="1"/>
  <c r="P102" i="1" s="1"/>
  <c r="N53" i="5"/>
  <c r="N37" i="5" s="1"/>
  <c r="O43" i="6"/>
  <c r="N26" i="1"/>
  <c r="N16" i="1" s="1"/>
  <c r="L14" i="2"/>
  <c r="O14" i="2" s="1"/>
  <c r="O252" i="20"/>
  <c r="L250" i="20"/>
  <c r="O250" i="20" s="1"/>
  <c r="N41" i="17"/>
  <c r="P41" i="17" s="1"/>
  <c r="P43" i="17"/>
  <c r="L55" i="22"/>
  <c r="O57" i="22"/>
  <c r="O331" i="18"/>
  <c r="P142" i="15"/>
  <c r="L55" i="14"/>
  <c r="P329" i="10"/>
  <c r="N94" i="1"/>
  <c r="N37" i="4"/>
  <c r="M22" i="1"/>
  <c r="M12" i="1" s="1"/>
  <c r="O32" i="17"/>
  <c r="L30" i="17"/>
  <c r="O30" i="17" s="1"/>
  <c r="O34" i="4"/>
  <c r="P26" i="22"/>
  <c r="O254" i="21"/>
  <c r="O53" i="20"/>
  <c r="P331" i="18"/>
  <c r="O34" i="16"/>
  <c r="N37" i="16"/>
  <c r="P250" i="15"/>
  <c r="P271" i="15"/>
  <c r="M140" i="13"/>
  <c r="P140" i="13" s="1"/>
  <c r="N37" i="10"/>
  <c r="M41" i="6"/>
  <c r="P41" i="6" s="1"/>
  <c r="N250" i="6"/>
  <c r="N250" i="1" s="1"/>
  <c r="L13" i="3"/>
  <c r="O13" i="3" s="1"/>
  <c r="O314" i="20"/>
  <c r="L312" i="20"/>
  <c r="P337" i="8"/>
  <c r="M26" i="8"/>
  <c r="M16" i="8" s="1"/>
  <c r="O34" i="5"/>
  <c r="N290" i="1"/>
  <c r="O45" i="21"/>
  <c r="L43" i="21"/>
  <c r="L22" i="21"/>
  <c r="P55" i="19"/>
  <c r="M53" i="19"/>
  <c r="P53" i="19" s="1"/>
  <c r="O31" i="16"/>
  <c r="L29" i="16"/>
  <c r="L11" i="16"/>
  <c r="N12" i="9"/>
  <c r="N10" i="9" s="1"/>
  <c r="N20" i="9"/>
  <c r="N18" i="9" s="1"/>
  <c r="O11" i="6"/>
  <c r="L9" i="6"/>
  <c r="P9" i="5"/>
  <c r="M9" i="2"/>
  <c r="P11" i="2"/>
  <c r="O275" i="22"/>
  <c r="L273" i="22"/>
  <c r="N11" i="21"/>
  <c r="N9" i="21" s="1"/>
  <c r="N29" i="21"/>
  <c r="N28" i="21" s="1"/>
  <c r="L271" i="21"/>
  <c r="O271" i="21" s="1"/>
  <c r="O273" i="21"/>
  <c r="O11" i="21"/>
  <c r="L9" i="21"/>
  <c r="O57" i="21"/>
  <c r="L55" i="21"/>
  <c r="O43" i="22"/>
  <c r="L41" i="22"/>
  <c r="P140" i="21"/>
  <c r="L53" i="19"/>
  <c r="O53" i="19" s="1"/>
  <c r="M331" i="21"/>
  <c r="O23" i="20"/>
  <c r="L13" i="20"/>
  <c r="O13" i="20" s="1"/>
  <c r="M9" i="20"/>
  <c r="O19" i="19"/>
  <c r="L271" i="18"/>
  <c r="O271" i="18" s="1"/>
  <c r="P22" i="19"/>
  <c r="M12" i="19"/>
  <c r="P41" i="18"/>
  <c r="L250" i="17"/>
  <c r="O250" i="17" s="1"/>
  <c r="O23" i="18"/>
  <c r="L13" i="18"/>
  <c r="O13" i="18" s="1"/>
  <c r="O26" i="17"/>
  <c r="L16" i="17"/>
  <c r="N12" i="16"/>
  <c r="N10" i="16" s="1"/>
  <c r="N20" i="16"/>
  <c r="N18" i="16" s="1"/>
  <c r="M220" i="15"/>
  <c r="P220" i="15" s="1"/>
  <c r="P222" i="15"/>
  <c r="P252" i="15"/>
  <c r="M53" i="13"/>
  <c r="P53" i="13" s="1"/>
  <c r="N37" i="15"/>
  <c r="P331" i="14"/>
  <c r="M329" i="14"/>
  <c r="P329" i="14" s="1"/>
  <c r="O224" i="15"/>
  <c r="L222" i="15"/>
  <c r="P22" i="12"/>
  <c r="M12" i="12"/>
  <c r="M20" i="12"/>
  <c r="M16" i="12"/>
  <c r="P26" i="12"/>
  <c r="O220" i="11"/>
  <c r="M41" i="13"/>
  <c r="M16" i="11"/>
  <c r="P16" i="11" s="1"/>
  <c r="P26" i="11"/>
  <c r="P329" i="12"/>
  <c r="P26" i="13"/>
  <c r="M16" i="13"/>
  <c r="P16" i="13" s="1"/>
  <c r="P43" i="10"/>
  <c r="M41" i="10"/>
  <c r="L55" i="12"/>
  <c r="L22" i="12"/>
  <c r="O57" i="12"/>
  <c r="O222" i="11"/>
  <c r="L94" i="13"/>
  <c r="O94" i="13" s="1"/>
  <c r="O96" i="13"/>
  <c r="O34" i="12"/>
  <c r="O26" i="10"/>
  <c r="L16" i="10"/>
  <c r="O16" i="10" s="1"/>
  <c r="P19" i="7"/>
  <c r="L29" i="8"/>
  <c r="O31" i="8"/>
  <c r="M290" i="7"/>
  <c r="P290" i="7" s="1"/>
  <c r="P292" i="7"/>
  <c r="O24" i="7"/>
  <c r="L14" i="7"/>
  <c r="O14" i="7" s="1"/>
  <c r="O292" i="8"/>
  <c r="L290" i="8"/>
  <c r="O290" i="8" s="1"/>
  <c r="M9" i="9"/>
  <c r="P11" i="9"/>
  <c r="O220" i="4"/>
  <c r="P102" i="5"/>
  <c r="M96" i="5"/>
  <c r="P43" i="3"/>
  <c r="M41" i="3"/>
  <c r="K613" i="1"/>
  <c r="K618" i="1"/>
  <c r="K615" i="1"/>
  <c r="K612" i="1"/>
  <c r="K619" i="1"/>
  <c r="K611" i="1"/>
  <c r="K617" i="1"/>
  <c r="K614" i="1"/>
  <c r="K616" i="1"/>
  <c r="N292" i="1"/>
  <c r="K371" i="1"/>
  <c r="I367" i="1"/>
  <c r="K367" i="1" s="1"/>
  <c r="L41" i="7"/>
  <c r="O43" i="7"/>
  <c r="O24" i="4"/>
  <c r="L14" i="4"/>
  <c r="O14" i="4" s="1"/>
  <c r="N142" i="1"/>
  <c r="O70" i="4"/>
  <c r="L68" i="4"/>
  <c r="L70" i="1"/>
  <c r="O70" i="1" s="1"/>
  <c r="O273" i="3"/>
  <c r="L271" i="3"/>
  <c r="N96" i="1"/>
  <c r="N222" i="1"/>
  <c r="N55" i="1"/>
  <c r="N53" i="1" s="1"/>
  <c r="P22" i="21"/>
  <c r="M12" i="21"/>
  <c r="L29" i="19"/>
  <c r="O31" i="19"/>
  <c r="P252" i="19"/>
  <c r="M250" i="19"/>
  <c r="P250" i="19" s="1"/>
  <c r="O252" i="16"/>
  <c r="L250" i="16"/>
  <c r="O250" i="16" s="1"/>
  <c r="O11" i="8"/>
  <c r="L9" i="8"/>
  <c r="O224" i="22"/>
  <c r="L222" i="22"/>
  <c r="P19" i="20"/>
  <c r="N37" i="20"/>
  <c r="P43" i="20"/>
  <c r="P96" i="19"/>
  <c r="M94" i="19"/>
  <c r="P94" i="19" s="1"/>
  <c r="N37" i="18"/>
  <c r="N12" i="19"/>
  <c r="N20" i="19"/>
  <c r="N18" i="19" s="1"/>
  <c r="O24" i="17"/>
  <c r="L14" i="17"/>
  <c r="P29" i="16"/>
  <c r="M28" i="16"/>
  <c r="P28" i="16" s="1"/>
  <c r="M310" i="14"/>
  <c r="P310" i="14" s="1"/>
  <c r="P68" i="15"/>
  <c r="M66" i="15"/>
  <c r="P66" i="15" s="1"/>
  <c r="O275" i="14"/>
  <c r="L273" i="14"/>
  <c r="N37" i="13"/>
  <c r="P220" i="13"/>
  <c r="L142" i="11"/>
  <c r="O144" i="11"/>
  <c r="P55" i="10"/>
  <c r="M53" i="10"/>
  <c r="P53" i="10" s="1"/>
  <c r="M41" i="14"/>
  <c r="L29" i="14"/>
  <c r="O31" i="14"/>
  <c r="O331" i="12"/>
  <c r="L329" i="12"/>
  <c r="O329" i="12" s="1"/>
  <c r="P22" i="11"/>
  <c r="M12" i="11"/>
  <c r="M20" i="11"/>
  <c r="M18" i="11" s="1"/>
  <c r="O29" i="12"/>
  <c r="O24" i="13"/>
  <c r="L14" i="13"/>
  <c r="P222" i="11"/>
  <c r="M220" i="11"/>
  <c r="P220" i="11" s="1"/>
  <c r="P55" i="7"/>
  <c r="M53" i="7"/>
  <c r="P53" i="7" s="1"/>
  <c r="P142" i="11"/>
  <c r="N140" i="11"/>
  <c r="N37" i="11" s="1"/>
  <c r="P22" i="8"/>
  <c r="M12" i="8"/>
  <c r="O41" i="6"/>
  <c r="O275" i="8"/>
  <c r="L273" i="8"/>
  <c r="M20" i="9"/>
  <c r="M18" i="9" s="1"/>
  <c r="P22" i="9"/>
  <c r="M12" i="9"/>
  <c r="P312" i="5"/>
  <c r="M310" i="5"/>
  <c r="P310" i="5" s="1"/>
  <c r="P22" i="5"/>
  <c r="M12" i="5"/>
  <c r="O273" i="6"/>
  <c r="O19" i="5"/>
  <c r="O19" i="6"/>
  <c r="O96" i="5"/>
  <c r="L94" i="5"/>
  <c r="O94" i="5" s="1"/>
  <c r="O24" i="8"/>
  <c r="L14" i="8"/>
  <c r="O14" i="8" s="1"/>
  <c r="L32" i="1"/>
  <c r="O437" i="1"/>
  <c r="M118" i="4"/>
  <c r="P118" i="4" s="1"/>
  <c r="O57" i="4"/>
  <c r="L55" i="4"/>
  <c r="O224" i="2"/>
  <c r="L224" i="1"/>
  <c r="O224" i="1" s="1"/>
  <c r="L222" i="2"/>
  <c r="N66" i="6"/>
  <c r="P66" i="6" s="1"/>
  <c r="P273" i="2"/>
  <c r="M271" i="2"/>
  <c r="M273" i="1"/>
  <c r="N68" i="1"/>
  <c r="P222" i="20"/>
  <c r="M220" i="20"/>
  <c r="P220" i="20" s="1"/>
  <c r="O294" i="11"/>
  <c r="L292" i="11"/>
  <c r="N37" i="22"/>
  <c r="P11" i="22"/>
  <c r="M9" i="22"/>
  <c r="L96" i="22"/>
  <c r="O98" i="22"/>
  <c r="L22" i="22"/>
  <c r="L250" i="22"/>
  <c r="O250" i="22" s="1"/>
  <c r="P19" i="21"/>
  <c r="L310" i="21"/>
  <c r="O310" i="21" s="1"/>
  <c r="O222" i="21"/>
  <c r="L220" i="21"/>
  <c r="M12" i="20"/>
  <c r="P22" i="20"/>
  <c r="N11" i="20"/>
  <c r="N9" i="20" s="1"/>
  <c r="N29" i="20"/>
  <c r="N28" i="20" s="1"/>
  <c r="P41" i="20"/>
  <c r="O224" i="19"/>
  <c r="L222" i="19"/>
  <c r="N28" i="19"/>
  <c r="N29" i="18"/>
  <c r="N28" i="18" s="1"/>
  <c r="N11" i="18"/>
  <c r="N9" i="18" s="1"/>
  <c r="O9" i="18"/>
  <c r="O24" i="18"/>
  <c r="L14" i="18"/>
  <c r="O14" i="18" s="1"/>
  <c r="O45" i="17"/>
  <c r="L43" i="17"/>
  <c r="L22" i="17"/>
  <c r="O45" i="16"/>
  <c r="L43" i="16"/>
  <c r="L22" i="16"/>
  <c r="P9" i="19"/>
  <c r="L14" i="16"/>
  <c r="O14" i="16" s="1"/>
  <c r="O32" i="15"/>
  <c r="L30" i="15"/>
  <c r="P222" i="14"/>
  <c r="M220" i="14"/>
  <c r="P220" i="14" s="1"/>
  <c r="M329" i="11"/>
  <c r="P329" i="11" s="1"/>
  <c r="L14" i="14"/>
  <c r="O14" i="14" s="1"/>
  <c r="P312" i="13"/>
  <c r="M310" i="13"/>
  <c r="P310" i="13" s="1"/>
  <c r="O32" i="14"/>
  <c r="L30" i="14"/>
  <c r="O30" i="14" s="1"/>
  <c r="P30" i="13"/>
  <c r="M28" i="13"/>
  <c r="P28" i="13" s="1"/>
  <c r="L29" i="13"/>
  <c r="O31" i="13"/>
  <c r="P55" i="11"/>
  <c r="M53" i="11"/>
  <c r="L30" i="11"/>
  <c r="O30" i="11" s="1"/>
  <c r="O32" i="11"/>
  <c r="L22" i="13"/>
  <c r="O45" i="13"/>
  <c r="L43" i="13"/>
  <c r="P19" i="11"/>
  <c r="L142" i="9"/>
  <c r="O144" i="9"/>
  <c r="P222" i="8"/>
  <c r="M220" i="8"/>
  <c r="P220" i="8" s="1"/>
  <c r="M222" i="1"/>
  <c r="N20" i="10"/>
  <c r="N12" i="10"/>
  <c r="N10" i="10" s="1"/>
  <c r="L30" i="7"/>
  <c r="O30" i="7" s="1"/>
  <c r="O32" i="7"/>
  <c r="M290" i="9"/>
  <c r="P290" i="9" s="1"/>
  <c r="O312" i="9"/>
  <c r="L310" i="9"/>
  <c r="O310" i="9" s="1"/>
  <c r="O98" i="6"/>
  <c r="L96" i="6"/>
  <c r="P19" i="9"/>
  <c r="L9" i="5"/>
  <c r="O11" i="5"/>
  <c r="P9" i="6"/>
  <c r="L16" i="5"/>
  <c r="O16" i="5" s="1"/>
  <c r="O26" i="5"/>
  <c r="L16" i="6"/>
  <c r="O16" i="6" s="1"/>
  <c r="O26" i="6"/>
  <c r="N20" i="4"/>
  <c r="N18" i="4" s="1"/>
  <c r="N12" i="4"/>
  <c r="N10" i="4" s="1"/>
  <c r="P68" i="3"/>
  <c r="M66" i="3"/>
  <c r="O55" i="3"/>
  <c r="L53" i="3"/>
  <c r="L250" i="8"/>
  <c r="O250" i="8" s="1"/>
  <c r="O252" i="8"/>
  <c r="P312" i="2"/>
  <c r="M312" i="1"/>
  <c r="M310" i="2"/>
  <c r="L30" i="3"/>
  <c r="O30" i="3" s="1"/>
  <c r="O32" i="3"/>
  <c r="L250" i="2"/>
  <c r="O252" i="2"/>
  <c r="P26" i="3"/>
  <c r="M16" i="3"/>
  <c r="P16" i="3" s="1"/>
  <c r="M9" i="1"/>
  <c r="P11" i="1"/>
  <c r="M20" i="3"/>
  <c r="O122" i="20"/>
  <c r="L120" i="20"/>
  <c r="P19" i="17"/>
  <c r="O55" i="16"/>
  <c r="L53" i="16"/>
  <c r="O53" i="16" s="1"/>
  <c r="O31" i="22"/>
  <c r="L29" i="22"/>
  <c r="L11" i="22"/>
  <c r="O331" i="21"/>
  <c r="L329" i="21"/>
  <c r="O329" i="21" s="1"/>
  <c r="O23" i="22"/>
  <c r="L13" i="22"/>
  <c r="O13" i="22" s="1"/>
  <c r="O32" i="22"/>
  <c r="M9" i="21"/>
  <c r="P11" i="21"/>
  <c r="L11" i="19"/>
  <c r="O29" i="20"/>
  <c r="P96" i="20"/>
  <c r="M94" i="20"/>
  <c r="P94" i="20" s="1"/>
  <c r="O24" i="19"/>
  <c r="L14" i="19"/>
  <c r="O14" i="19" s="1"/>
  <c r="P140" i="18"/>
  <c r="P19" i="18"/>
  <c r="P29" i="18"/>
  <c r="M28" i="18"/>
  <c r="P28" i="18" s="1"/>
  <c r="M26" i="18"/>
  <c r="M20" i="18" s="1"/>
  <c r="M68" i="18"/>
  <c r="P74" i="18"/>
  <c r="O19" i="17"/>
  <c r="O144" i="18"/>
  <c r="L22" i="18"/>
  <c r="L142" i="18"/>
  <c r="O23" i="16"/>
  <c r="L13" i="16"/>
  <c r="O13" i="16" s="1"/>
  <c r="L310" i="18"/>
  <c r="O310" i="18" s="1"/>
  <c r="O312" i="18"/>
  <c r="P41" i="15"/>
  <c r="M9" i="14"/>
  <c r="P11" i="14"/>
  <c r="P11" i="15"/>
  <c r="M9" i="15"/>
  <c r="L290" i="15"/>
  <c r="O290" i="15" s="1"/>
  <c r="O32" i="13"/>
  <c r="L30" i="13"/>
  <c r="O30" i="13" s="1"/>
  <c r="P22" i="13"/>
  <c r="M20" i="13"/>
  <c r="M12" i="13"/>
  <c r="O224" i="12"/>
  <c r="L222" i="12"/>
  <c r="M220" i="12"/>
  <c r="P220" i="12" s="1"/>
  <c r="P222" i="12"/>
  <c r="L16" i="11"/>
  <c r="O16" i="11" s="1"/>
  <c r="O26" i="11"/>
  <c r="O254" i="13"/>
  <c r="L252" i="13"/>
  <c r="M41" i="9"/>
  <c r="P43" i="9"/>
  <c r="P68" i="7"/>
  <c r="M66" i="7"/>
  <c r="P66" i="7" s="1"/>
  <c r="L96" i="8"/>
  <c r="O98" i="8"/>
  <c r="O57" i="9"/>
  <c r="L55" i="9"/>
  <c r="M118" i="8"/>
  <c r="P118" i="8" s="1"/>
  <c r="P120" i="8"/>
  <c r="P26" i="7"/>
  <c r="M16" i="7"/>
  <c r="P16" i="7" s="1"/>
  <c r="L22" i="9"/>
  <c r="L140" i="8"/>
  <c r="N20" i="6"/>
  <c r="N18" i="6" s="1"/>
  <c r="N12" i="6"/>
  <c r="N10" i="6" s="1"/>
  <c r="O26" i="9"/>
  <c r="L16" i="9"/>
  <c r="O16" i="9" s="1"/>
  <c r="M26" i="6"/>
  <c r="M20" i="6" s="1"/>
  <c r="P337" i="6"/>
  <c r="M331" i="6"/>
  <c r="M26" i="5"/>
  <c r="P49" i="5"/>
  <c r="M43" i="5"/>
  <c r="M49" i="1"/>
  <c r="P222" i="4"/>
  <c r="M66" i="4"/>
  <c r="P66" i="4" s="1"/>
  <c r="O31" i="3"/>
  <c r="L29" i="3"/>
  <c r="L11" i="3"/>
  <c r="N140" i="6"/>
  <c r="P140" i="6" s="1"/>
  <c r="P43" i="4"/>
  <c r="M41" i="4"/>
  <c r="L23" i="1"/>
  <c r="M250" i="4"/>
  <c r="P250" i="4" s="1"/>
  <c r="N12" i="5"/>
  <c r="N10" i="5" s="1"/>
  <c r="N8" i="5" s="1"/>
  <c r="N20" i="5"/>
  <c r="N18" i="5" s="1"/>
  <c r="P29" i="3"/>
  <c r="M28" i="3"/>
  <c r="P28" i="3" s="1"/>
  <c r="M74" i="1"/>
  <c r="P74" i="1" s="1"/>
  <c r="O41" i="3"/>
  <c r="O352" i="1"/>
  <c r="O26" i="21"/>
  <c r="L16" i="21"/>
  <c r="O16" i="21" s="1"/>
  <c r="M26" i="21"/>
  <c r="P74" i="21"/>
  <c r="M68" i="21"/>
  <c r="N12" i="20"/>
  <c r="N10" i="20" s="1"/>
  <c r="N20" i="20"/>
  <c r="N18" i="20" s="1"/>
  <c r="O23" i="15"/>
  <c r="L13" i="15"/>
  <c r="O13" i="15" s="1"/>
  <c r="O11" i="15"/>
  <c r="L9" i="15"/>
  <c r="L22" i="10"/>
  <c r="L43" i="10"/>
  <c r="O45" i="10"/>
  <c r="L252" i="9"/>
  <c r="O254" i="9"/>
  <c r="M94" i="6"/>
  <c r="P94" i="6" s="1"/>
  <c r="P96" i="6"/>
  <c r="O98" i="3"/>
  <c r="L96" i="3"/>
  <c r="P252" i="21"/>
  <c r="O68" i="22"/>
  <c r="L66" i="22"/>
  <c r="O66" i="22" s="1"/>
  <c r="P252" i="22"/>
  <c r="M250" i="22"/>
  <c r="P250" i="22" s="1"/>
  <c r="P250" i="21"/>
  <c r="P19" i="22"/>
  <c r="O24" i="22"/>
  <c r="L14" i="22"/>
  <c r="O14" i="22" s="1"/>
  <c r="L30" i="21"/>
  <c r="O32" i="21"/>
  <c r="O26" i="20"/>
  <c r="L16" i="20"/>
  <c r="O16" i="20" s="1"/>
  <c r="O23" i="19"/>
  <c r="L13" i="19"/>
  <c r="O13" i="19" s="1"/>
  <c r="P142" i="21"/>
  <c r="O55" i="20"/>
  <c r="L30" i="20"/>
  <c r="O30" i="20" s="1"/>
  <c r="O32" i="20"/>
  <c r="M220" i="19"/>
  <c r="P220" i="19" s="1"/>
  <c r="M9" i="18"/>
  <c r="P11" i="18"/>
  <c r="L22" i="19"/>
  <c r="N271" i="17"/>
  <c r="P271" i="17" s="1"/>
  <c r="M12" i="18"/>
  <c r="P22" i="18"/>
  <c r="N16" i="19"/>
  <c r="O26" i="19"/>
  <c r="P19" i="16"/>
  <c r="M9" i="17"/>
  <c r="P41" i="16"/>
  <c r="P140" i="15"/>
  <c r="O94" i="16"/>
  <c r="O16" i="15"/>
  <c r="O34" i="13"/>
  <c r="N14" i="13"/>
  <c r="M10" i="15"/>
  <c r="O23" i="13"/>
  <c r="L13" i="13"/>
  <c r="O13" i="13" s="1"/>
  <c r="O26" i="14"/>
  <c r="L16" i="14"/>
  <c r="O16" i="14" s="1"/>
  <c r="O19" i="13"/>
  <c r="M9" i="12"/>
  <c r="O45" i="11"/>
  <c r="L22" i="11"/>
  <c r="L43" i="11"/>
  <c r="O31" i="10"/>
  <c r="L29" i="10"/>
  <c r="L11" i="10"/>
  <c r="L329" i="10"/>
  <c r="O329" i="10" s="1"/>
  <c r="N12" i="8"/>
  <c r="N20" i="8"/>
  <c r="N18" i="8" s="1"/>
  <c r="L29" i="7"/>
  <c r="L11" i="7"/>
  <c r="O31" i="7"/>
  <c r="O23" i="7"/>
  <c r="L13" i="7"/>
  <c r="O13" i="7" s="1"/>
  <c r="O122" i="8"/>
  <c r="L120" i="8"/>
  <c r="O55" i="7"/>
  <c r="L53" i="7"/>
  <c r="O53" i="7" s="1"/>
  <c r="P222" i="9"/>
  <c r="O23" i="9"/>
  <c r="L13" i="9"/>
  <c r="O13" i="9" s="1"/>
  <c r="M9" i="8"/>
  <c r="P11" i="8"/>
  <c r="N16" i="8"/>
  <c r="O70" i="6"/>
  <c r="L68" i="6"/>
  <c r="O142" i="6"/>
  <c r="L13" i="5"/>
  <c r="O13" i="5" s="1"/>
  <c r="O23" i="5"/>
  <c r="M331" i="4"/>
  <c r="M337" i="1"/>
  <c r="P337" i="1" s="1"/>
  <c r="P337" i="4"/>
  <c r="O24" i="5"/>
  <c r="L14" i="5"/>
  <c r="O14" i="5" s="1"/>
  <c r="P102" i="4"/>
  <c r="M26" i="4"/>
  <c r="M20" i="4" s="1"/>
  <c r="L30" i="5"/>
  <c r="O30" i="5" s="1"/>
  <c r="O32" i="5"/>
  <c r="P29" i="4"/>
  <c r="M28" i="4"/>
  <c r="P28" i="4" s="1"/>
  <c r="L29" i="5"/>
  <c r="O31" i="5"/>
  <c r="N312" i="1"/>
  <c r="L142" i="3"/>
  <c r="O144" i="3"/>
  <c r="P142" i="2"/>
  <c r="M142" i="1"/>
  <c r="M140" i="2"/>
  <c r="P55" i="2"/>
  <c r="M53" i="2"/>
  <c r="P68" i="2"/>
  <c r="M66" i="2"/>
  <c r="L33" i="1"/>
  <c r="O33" i="1" s="1"/>
  <c r="P19" i="1"/>
  <c r="O43" i="3"/>
  <c r="M53" i="17"/>
  <c r="P53" i="17" s="1"/>
  <c r="P55" i="17"/>
  <c r="P22" i="14"/>
  <c r="M12" i="14"/>
  <c r="N20" i="14"/>
  <c r="N18" i="14" s="1"/>
  <c r="N12" i="14"/>
  <c r="N10" i="14" s="1"/>
  <c r="P9" i="10"/>
  <c r="O55" i="11"/>
  <c r="L53" i="11"/>
  <c r="O53" i="11" s="1"/>
  <c r="N12" i="22"/>
  <c r="N10" i="22" s="1"/>
  <c r="N20" i="22"/>
  <c r="N18" i="22" s="1"/>
  <c r="P55" i="20"/>
  <c r="M53" i="20"/>
  <c r="P53" i="20" s="1"/>
  <c r="O250" i="21"/>
  <c r="N12" i="21"/>
  <c r="N10" i="21" s="1"/>
  <c r="N20" i="21"/>
  <c r="N18" i="21" s="1"/>
  <c r="O24" i="20"/>
  <c r="L14" i="20"/>
  <c r="O14" i="20" s="1"/>
  <c r="O252" i="21"/>
  <c r="O43" i="20"/>
  <c r="L30" i="18"/>
  <c r="O30" i="18" s="1"/>
  <c r="O32" i="18"/>
  <c r="N118" i="17"/>
  <c r="O34" i="17"/>
  <c r="N14" i="17"/>
  <c r="P22" i="17"/>
  <c r="M12" i="17"/>
  <c r="M20" i="17"/>
  <c r="M220" i="16"/>
  <c r="P220" i="16" s="1"/>
  <c r="O23" i="17"/>
  <c r="L13" i="17"/>
  <c r="O13" i="17" s="1"/>
  <c r="L292" i="16"/>
  <c r="O294" i="16"/>
  <c r="O96" i="16"/>
  <c r="O23" i="14"/>
  <c r="L13" i="14"/>
  <c r="O13" i="14" s="1"/>
  <c r="O57" i="13"/>
  <c r="L55" i="13"/>
  <c r="P49" i="14"/>
  <c r="M26" i="14"/>
  <c r="M20" i="14" s="1"/>
  <c r="L11" i="13"/>
  <c r="P41" i="8"/>
  <c r="P9" i="11"/>
  <c r="N20" i="11"/>
  <c r="N18" i="11" s="1"/>
  <c r="N12" i="11"/>
  <c r="N10" i="11" s="1"/>
  <c r="L30" i="8"/>
  <c r="O30" i="8" s="1"/>
  <c r="O32" i="8"/>
  <c r="O294" i="7"/>
  <c r="L292" i="7"/>
  <c r="N29" i="8"/>
  <c r="N28" i="8" s="1"/>
  <c r="N11" i="8"/>
  <c r="N9" i="8" s="1"/>
  <c r="L252" i="7"/>
  <c r="O254" i="7"/>
  <c r="O43" i="9"/>
  <c r="O23" i="6"/>
  <c r="L13" i="6"/>
  <c r="O13" i="6" s="1"/>
  <c r="M331" i="5"/>
  <c r="P337" i="5"/>
  <c r="O24" i="6"/>
  <c r="L14" i="6"/>
  <c r="O14" i="6" s="1"/>
  <c r="L53" i="6"/>
  <c r="L292" i="5"/>
  <c r="O294" i="5"/>
  <c r="L22" i="5"/>
  <c r="O26" i="7"/>
  <c r="L16" i="7"/>
  <c r="O16" i="7" s="1"/>
  <c r="M292" i="1"/>
  <c r="P11" i="3"/>
  <c r="M9" i="3"/>
  <c r="L41" i="9"/>
  <c r="P22" i="4"/>
  <c r="M12" i="4"/>
  <c r="O45" i="2"/>
  <c r="L43" i="2"/>
  <c r="L45" i="1"/>
  <c r="L22" i="2"/>
  <c r="P312" i="3"/>
  <c r="M310" i="3"/>
  <c r="P310" i="3" s="1"/>
  <c r="N273" i="1"/>
  <c r="N271" i="2"/>
  <c r="N120" i="1"/>
  <c r="N118" i="2"/>
  <c r="M271" i="4"/>
  <c r="P271" i="4" s="1"/>
  <c r="P292" i="4"/>
  <c r="M290" i="4"/>
  <c r="O142" i="2"/>
  <c r="L140" i="2"/>
  <c r="N310" i="2"/>
  <c r="N310" i="1" s="1"/>
  <c r="L13" i="2"/>
  <c r="O13" i="2" s="1"/>
  <c r="L57" i="1"/>
  <c r="O19" i="1"/>
  <c r="M26" i="20"/>
  <c r="P337" i="20"/>
  <c r="M331" i="20"/>
  <c r="P337" i="16"/>
  <c r="M331" i="16"/>
  <c r="M26" i="16"/>
  <c r="P292" i="13"/>
  <c r="M290" i="13"/>
  <c r="P290" i="13" s="1"/>
  <c r="O26" i="13"/>
  <c r="L16" i="13"/>
  <c r="O16" i="13" s="1"/>
  <c r="L9" i="14"/>
  <c r="O11" i="14"/>
  <c r="L13" i="12"/>
  <c r="O13" i="12" s="1"/>
  <c r="O23" i="12"/>
  <c r="M20" i="22"/>
  <c r="M12" i="22"/>
  <c r="P22" i="22"/>
  <c r="M220" i="22"/>
  <c r="P220" i="22" s="1"/>
  <c r="O23" i="21"/>
  <c r="L13" i="21"/>
  <c r="O13" i="21" s="1"/>
  <c r="O26" i="22"/>
  <c r="L16" i="22"/>
  <c r="O16" i="22" s="1"/>
  <c r="L329" i="20"/>
  <c r="O329" i="20" s="1"/>
  <c r="O331" i="20"/>
  <c r="O98" i="20"/>
  <c r="L22" i="20"/>
  <c r="L96" i="20"/>
  <c r="L220" i="20"/>
  <c r="O220" i="20" s="1"/>
  <c r="O222" i="20"/>
  <c r="O19" i="20"/>
  <c r="P142" i="19"/>
  <c r="M140" i="19"/>
  <c r="P140" i="19" s="1"/>
  <c r="P222" i="17"/>
  <c r="M220" i="17"/>
  <c r="P220" i="17" s="1"/>
  <c r="O331" i="17"/>
  <c r="L329" i="17"/>
  <c r="O329" i="17" s="1"/>
  <c r="L55" i="17"/>
  <c r="O57" i="17"/>
  <c r="O26" i="16"/>
  <c r="L16" i="16"/>
  <c r="O16" i="16" s="1"/>
  <c r="P9" i="16"/>
  <c r="P142" i="18"/>
  <c r="L329" i="15"/>
  <c r="O329" i="15" s="1"/>
  <c r="O331" i="15"/>
  <c r="L30" i="16"/>
  <c r="O30" i="16" s="1"/>
  <c r="O32" i="16"/>
  <c r="L142" i="14"/>
  <c r="O144" i="14"/>
  <c r="L220" i="13"/>
  <c r="O220" i="13" s="1"/>
  <c r="O222" i="13"/>
  <c r="P55" i="12"/>
  <c r="M53" i="12"/>
  <c r="P53" i="12" s="1"/>
  <c r="O19" i="15"/>
  <c r="L331" i="13"/>
  <c r="O333" i="13"/>
  <c r="L333" i="1"/>
  <c r="O333" i="1" s="1"/>
  <c r="O19" i="14"/>
  <c r="O19" i="12"/>
  <c r="P68" i="13"/>
  <c r="M66" i="13"/>
  <c r="P66" i="13" s="1"/>
  <c r="N12" i="12"/>
  <c r="N20" i="12"/>
  <c r="N18" i="12" s="1"/>
  <c r="N16" i="12"/>
  <c r="O16" i="12" s="1"/>
  <c r="O26" i="12"/>
  <c r="L9" i="17"/>
  <c r="L30" i="12"/>
  <c r="O30" i="12" s="1"/>
  <c r="O32" i="12"/>
  <c r="M28" i="11"/>
  <c r="P28" i="11" s="1"/>
  <c r="P142" i="12"/>
  <c r="M140" i="12"/>
  <c r="P140" i="12" s="1"/>
  <c r="O23" i="10"/>
  <c r="L13" i="10"/>
  <c r="O13" i="10" s="1"/>
  <c r="P96" i="10"/>
  <c r="M94" i="10"/>
  <c r="P94" i="10" s="1"/>
  <c r="O23" i="8"/>
  <c r="L13" i="8"/>
  <c r="O13" i="8" s="1"/>
  <c r="M9" i="7"/>
  <c r="P11" i="7"/>
  <c r="N12" i="7"/>
  <c r="N10" i="7" s="1"/>
  <c r="N20" i="7"/>
  <c r="N18" i="7" s="1"/>
  <c r="L29" i="6"/>
  <c r="O31" i="6"/>
  <c r="P19" i="8"/>
  <c r="N37" i="9"/>
  <c r="P19" i="5"/>
  <c r="L22" i="8"/>
  <c r="M12" i="6"/>
  <c r="P22" i="6"/>
  <c r="L310" i="7"/>
  <c r="O310" i="7" s="1"/>
  <c r="P11" i="4"/>
  <c r="M9" i="4"/>
  <c r="O292" i="4"/>
  <c r="L290" i="4"/>
  <c r="O290" i="4" s="1"/>
  <c r="O26" i="4"/>
  <c r="L16" i="4"/>
  <c r="O16" i="4" s="1"/>
  <c r="L292" i="3"/>
  <c r="L294" i="1"/>
  <c r="O294" i="1" s="1"/>
  <c r="O294" i="3"/>
  <c r="P26" i="2"/>
  <c r="M16" i="2"/>
  <c r="P16" i="2" s="1"/>
  <c r="M94" i="4"/>
  <c r="P94" i="4" s="1"/>
  <c r="M140" i="4"/>
  <c r="P140" i="4" s="1"/>
  <c r="P220" i="2"/>
  <c r="P57" i="1"/>
  <c r="M55" i="1"/>
  <c r="M271" i="8"/>
  <c r="P271" i="8" s="1"/>
  <c r="N331" i="1"/>
  <c r="N329" i="2"/>
  <c r="L310" i="3"/>
  <c r="O310" i="3" s="1"/>
  <c r="O312" i="3"/>
  <c r="N140" i="2"/>
  <c r="O31" i="4"/>
  <c r="L29" i="4"/>
  <c r="L11" i="4"/>
  <c r="O222" i="4"/>
  <c r="M53" i="4"/>
  <c r="P53" i="4" s="1"/>
  <c r="O385" i="1"/>
  <c r="L34" i="1"/>
  <c r="N53" i="3"/>
  <c r="P53" i="3" s="1"/>
  <c r="P312" i="6"/>
  <c r="M310" i="6"/>
  <c r="P310" i="6" s="1"/>
  <c r="O122" i="4"/>
  <c r="L120" i="4"/>
  <c r="L122" i="1"/>
  <c r="O122" i="1" s="1"/>
  <c r="P252" i="2"/>
  <c r="M250" i="2"/>
  <c r="M252" i="1"/>
  <c r="O41" i="5"/>
  <c r="M118" i="2"/>
  <c r="P120" i="2"/>
  <c r="M120" i="1"/>
  <c r="N11" i="2"/>
  <c r="N9" i="2" s="1"/>
  <c r="N29" i="2"/>
  <c r="N28" i="2" s="1"/>
  <c r="L144" i="1"/>
  <c r="O144" i="1" s="1"/>
  <c r="L98" i="1"/>
  <c r="O98" i="1" s="1"/>
  <c r="L26" i="1"/>
  <c r="L254" i="1"/>
  <c r="O254" i="1" s="1"/>
  <c r="N10" i="17" l="1"/>
  <c r="L271" i="7"/>
  <c r="O271" i="7" s="1"/>
  <c r="L329" i="22"/>
  <c r="O329" i="22" s="1"/>
  <c r="O331" i="16"/>
  <c r="L118" i="3"/>
  <c r="O292" i="19"/>
  <c r="L250" i="4"/>
  <c r="O250" i="4" s="1"/>
  <c r="L310" i="8"/>
  <c r="O310" i="8" s="1"/>
  <c r="O43" i="15"/>
  <c r="L118" i="11"/>
  <c r="O118" i="11" s="1"/>
  <c r="L118" i="21"/>
  <c r="O118" i="21" s="1"/>
  <c r="O312" i="2"/>
  <c r="L66" i="5"/>
  <c r="O66" i="5" s="1"/>
  <c r="L220" i="16"/>
  <c r="O220" i="16" s="1"/>
  <c r="N8" i="9"/>
  <c r="L94" i="9"/>
  <c r="O94" i="9" s="1"/>
  <c r="L53" i="2"/>
  <c r="O53" i="2" s="1"/>
  <c r="O96" i="17"/>
  <c r="O96" i="2"/>
  <c r="O292" i="2"/>
  <c r="L310" i="17"/>
  <c r="O310" i="17" s="1"/>
  <c r="L310" i="11"/>
  <c r="O310" i="11" s="1"/>
  <c r="L41" i="4"/>
  <c r="O41" i="4" s="1"/>
  <c r="L41" i="14"/>
  <c r="O41" i="14" s="1"/>
  <c r="L20" i="15"/>
  <c r="O20" i="15" s="1"/>
  <c r="O11" i="11"/>
  <c r="O11" i="1"/>
  <c r="P252" i="1"/>
  <c r="O31" i="1"/>
  <c r="P20" i="2"/>
  <c r="O11" i="20"/>
  <c r="L118" i="13"/>
  <c r="O118" i="13" s="1"/>
  <c r="L310" i="14"/>
  <c r="O310" i="14" s="1"/>
  <c r="L310" i="10"/>
  <c r="O310" i="10" s="1"/>
  <c r="O55" i="5"/>
  <c r="O142" i="5"/>
  <c r="L29" i="1"/>
  <c r="O29" i="1" s="1"/>
  <c r="L9" i="2"/>
  <c r="O9" i="2" s="1"/>
  <c r="O292" i="14"/>
  <c r="L329" i="8"/>
  <c r="O329" i="8" s="1"/>
  <c r="L66" i="7"/>
  <c r="O66" i="7" s="1"/>
  <c r="L310" i="6"/>
  <c r="O310" i="6" s="1"/>
  <c r="N8" i="13"/>
  <c r="N8" i="7"/>
  <c r="L271" i="5"/>
  <c r="O271" i="5" s="1"/>
  <c r="L140" i="17"/>
  <c r="O140" i="17" s="1"/>
  <c r="P12" i="15"/>
  <c r="N37" i="14"/>
  <c r="L94" i="7"/>
  <c r="O94" i="7" s="1"/>
  <c r="P20" i="17"/>
  <c r="M41" i="7"/>
  <c r="M37" i="7" s="1"/>
  <c r="P37" i="7" s="1"/>
  <c r="P18" i="2"/>
  <c r="O142" i="21"/>
  <c r="O222" i="17"/>
  <c r="P96" i="16"/>
  <c r="N8" i="3"/>
  <c r="L310" i="4"/>
  <c r="O310" i="4" s="1"/>
  <c r="N8" i="14"/>
  <c r="P331" i="19"/>
  <c r="L271" i="4"/>
  <c r="O271" i="4" s="1"/>
  <c r="O68" i="8"/>
  <c r="O273" i="9"/>
  <c r="L66" i="9"/>
  <c r="O66" i="9" s="1"/>
  <c r="O222" i="7"/>
  <c r="P142" i="1"/>
  <c r="L12" i="15"/>
  <c r="L10" i="15" s="1"/>
  <c r="O10" i="15" s="1"/>
  <c r="N11" i="1"/>
  <c r="N9" i="1" s="1"/>
  <c r="L66" i="10"/>
  <c r="O66" i="10" s="1"/>
  <c r="O142" i="15"/>
  <c r="L118" i="5"/>
  <c r="O118" i="5" s="1"/>
  <c r="O120" i="6"/>
  <c r="L94" i="11"/>
  <c r="O94" i="11" s="1"/>
  <c r="L66" i="19"/>
  <c r="O66" i="19" s="1"/>
  <c r="L290" i="9"/>
  <c r="O290" i="9" s="1"/>
  <c r="N37" i="21"/>
  <c r="O220" i="21"/>
  <c r="P12" i="3"/>
  <c r="N220" i="1"/>
  <c r="N8" i="6"/>
  <c r="O222" i="9"/>
  <c r="O11" i="9"/>
  <c r="O96" i="4"/>
  <c r="O331" i="3"/>
  <c r="O96" i="15"/>
  <c r="L41" i="18"/>
  <c r="O41" i="18" s="1"/>
  <c r="L94" i="19"/>
  <c r="O94" i="19" s="1"/>
  <c r="L94" i="18"/>
  <c r="O94" i="18" s="1"/>
  <c r="O43" i="8"/>
  <c r="L310" i="13"/>
  <c r="O310" i="13" s="1"/>
  <c r="P41" i="21"/>
  <c r="L220" i="6"/>
  <c r="O220" i="6" s="1"/>
  <c r="L140" i="22"/>
  <c r="O140" i="22" s="1"/>
  <c r="O140" i="8"/>
  <c r="L220" i="10"/>
  <c r="O220" i="10" s="1"/>
  <c r="L310" i="16"/>
  <c r="O310" i="16" s="1"/>
  <c r="O53" i="5"/>
  <c r="O331" i="14"/>
  <c r="O41" i="19"/>
  <c r="P26" i="19"/>
  <c r="O142" i="4"/>
  <c r="O43" i="19"/>
  <c r="O11" i="12"/>
  <c r="N8" i="4"/>
  <c r="O34" i="1"/>
  <c r="N8" i="18"/>
  <c r="L250" i="6"/>
  <c r="O250" i="6" s="1"/>
  <c r="P140" i="11"/>
  <c r="N66" i="1"/>
  <c r="L290" i="21"/>
  <c r="O290" i="21" s="1"/>
  <c r="O28" i="9"/>
  <c r="P292" i="1"/>
  <c r="O312" i="19"/>
  <c r="L310" i="19"/>
  <c r="O310" i="19" s="1"/>
  <c r="O273" i="17"/>
  <c r="P66" i="3"/>
  <c r="L140" i="13"/>
  <c r="O140" i="13" s="1"/>
  <c r="L20" i="4"/>
  <c r="O20" i="4" s="1"/>
  <c r="O16" i="17"/>
  <c r="N37" i="8"/>
  <c r="N37" i="19"/>
  <c r="M68" i="1"/>
  <c r="P68" i="1" s="1"/>
  <c r="P120" i="1"/>
  <c r="L118" i="19"/>
  <c r="O118" i="19" s="1"/>
  <c r="N8" i="11"/>
  <c r="P20" i="18"/>
  <c r="M329" i="9"/>
  <c r="P329" i="9" s="1"/>
  <c r="N8" i="10"/>
  <c r="L12" i="14"/>
  <c r="O12" i="14" s="1"/>
  <c r="O331" i="5"/>
  <c r="O273" i="19"/>
  <c r="O22" i="14"/>
  <c r="L140" i="19"/>
  <c r="O140" i="19" s="1"/>
  <c r="L118" i="12"/>
  <c r="O118" i="12" s="1"/>
  <c r="P16" i="8"/>
  <c r="L290" i="17"/>
  <c r="O290" i="17" s="1"/>
  <c r="O22" i="4"/>
  <c r="L310" i="22"/>
  <c r="O310" i="22" s="1"/>
  <c r="L329" i="19"/>
  <c r="O329" i="19" s="1"/>
  <c r="L28" i="2"/>
  <c r="O28" i="2" s="1"/>
  <c r="P12" i="2"/>
  <c r="L28" i="17"/>
  <c r="O28" i="17" s="1"/>
  <c r="N8" i="2"/>
  <c r="L118" i="14"/>
  <c r="O118" i="14" s="1"/>
  <c r="L53" i="10"/>
  <c r="O53" i="10" s="1"/>
  <c r="L252" i="1"/>
  <c r="O252" i="1" s="1"/>
  <c r="O120" i="17"/>
  <c r="O68" i="20"/>
  <c r="L250" i="10"/>
  <c r="O250" i="10" s="1"/>
  <c r="L94" i="10"/>
  <c r="O94" i="10" s="1"/>
  <c r="N8" i="16"/>
  <c r="O22" i="6"/>
  <c r="L250" i="19"/>
  <c r="O250" i="19" s="1"/>
  <c r="N28" i="1"/>
  <c r="P96" i="2"/>
  <c r="M96" i="1"/>
  <c r="P96" i="1" s="1"/>
  <c r="P20" i="22"/>
  <c r="N8" i="22"/>
  <c r="L66" i="2"/>
  <c r="O66" i="2" s="1"/>
  <c r="O68" i="2"/>
  <c r="O120" i="22"/>
  <c r="L118" i="22"/>
  <c r="O118" i="22" s="1"/>
  <c r="N12" i="1"/>
  <c r="N10" i="1" s="1"/>
  <c r="O292" i="13"/>
  <c r="L290" i="13"/>
  <c r="O290" i="13" s="1"/>
  <c r="P20" i="9"/>
  <c r="O331" i="9"/>
  <c r="L12" i="6"/>
  <c r="O12" i="6" s="1"/>
  <c r="O312" i="15"/>
  <c r="L310" i="15"/>
  <c r="O310" i="15" s="1"/>
  <c r="L20" i="3"/>
  <c r="O20" i="3" s="1"/>
  <c r="L12" i="7"/>
  <c r="L10" i="7" s="1"/>
  <c r="O10" i="7" s="1"/>
  <c r="L12" i="3"/>
  <c r="L10" i="3" s="1"/>
  <c r="O10" i="3" s="1"/>
  <c r="O55" i="8"/>
  <c r="L53" i="8"/>
  <c r="O53" i="8" s="1"/>
  <c r="N37" i="17"/>
  <c r="P12" i="16"/>
  <c r="O22" i="7"/>
  <c r="M20" i="19"/>
  <c r="P20" i="19" s="1"/>
  <c r="M10" i="3"/>
  <c r="P10" i="3" s="1"/>
  <c r="O120" i="9"/>
  <c r="O140" i="6"/>
  <c r="O120" i="10"/>
  <c r="L118" i="10"/>
  <c r="O118" i="10" s="1"/>
  <c r="O312" i="5"/>
  <c r="L310" i="5"/>
  <c r="O310" i="5" s="1"/>
  <c r="N140" i="1"/>
  <c r="L142" i="1"/>
  <c r="O142" i="1" s="1"/>
  <c r="L312" i="1"/>
  <c r="O312" i="1" s="1"/>
  <c r="N37" i="6"/>
  <c r="O53" i="6"/>
  <c r="N8" i="17"/>
  <c r="P250" i="6"/>
  <c r="P53" i="5"/>
  <c r="P118" i="17"/>
  <c r="O55" i="15"/>
  <c r="L53" i="15"/>
  <c r="O53" i="15" s="1"/>
  <c r="P22" i="1"/>
  <c r="O68" i="12"/>
  <c r="L66" i="12"/>
  <c r="O66" i="12" s="1"/>
  <c r="P26" i="8"/>
  <c r="L96" i="1"/>
  <c r="O96" i="1" s="1"/>
  <c r="O18" i="6"/>
  <c r="O43" i="12"/>
  <c r="L41" i="12"/>
  <c r="O41" i="12" s="1"/>
  <c r="M10" i="2"/>
  <c r="P10" i="2" s="1"/>
  <c r="L28" i="11"/>
  <c r="O28" i="11" s="1"/>
  <c r="N10" i="12"/>
  <c r="N8" i="12" s="1"/>
  <c r="P18" i="11"/>
  <c r="O312" i="20"/>
  <c r="L310" i="20"/>
  <c r="O310" i="20" s="1"/>
  <c r="O55" i="14"/>
  <c r="L53" i="14"/>
  <c r="O53" i="14" s="1"/>
  <c r="P20" i="15"/>
  <c r="M18" i="15"/>
  <c r="P18" i="15" s="1"/>
  <c r="M37" i="15"/>
  <c r="P37" i="15" s="1"/>
  <c r="M20" i="8"/>
  <c r="M18" i="8" s="1"/>
  <c r="P18" i="8" s="1"/>
  <c r="L53" i="18"/>
  <c r="O53" i="18" s="1"/>
  <c r="O55" i="18"/>
  <c r="O142" i="7"/>
  <c r="L140" i="7"/>
  <c r="O140" i="7" s="1"/>
  <c r="M37" i="12"/>
  <c r="P37" i="12" s="1"/>
  <c r="P20" i="7"/>
  <c r="P222" i="1"/>
  <c r="N20" i="1"/>
  <c r="N18" i="1" s="1"/>
  <c r="O292" i="6"/>
  <c r="L290" i="6"/>
  <c r="O290" i="6" s="1"/>
  <c r="O142" i="16"/>
  <c r="L140" i="16"/>
  <c r="O140" i="16" s="1"/>
  <c r="O18" i="14"/>
  <c r="P10" i="10"/>
  <c r="L53" i="22"/>
  <c r="O53" i="22" s="1"/>
  <c r="O55" i="22"/>
  <c r="O68" i="11"/>
  <c r="L66" i="11"/>
  <c r="O66" i="11" s="1"/>
  <c r="O331" i="7"/>
  <c r="L329" i="7"/>
  <c r="O329" i="7" s="1"/>
  <c r="O96" i="14"/>
  <c r="L94" i="14"/>
  <c r="O94" i="14" s="1"/>
  <c r="P20" i="14"/>
  <c r="M18" i="14"/>
  <c r="P18" i="14" s="1"/>
  <c r="M16" i="21"/>
  <c r="P16" i="21" s="1"/>
  <c r="P26" i="21"/>
  <c r="O96" i="6"/>
  <c r="L94" i="6"/>
  <c r="O94" i="6" s="1"/>
  <c r="O120" i="4"/>
  <c r="L118" i="4"/>
  <c r="O118" i="4" s="1"/>
  <c r="O9" i="1"/>
  <c r="M10" i="22"/>
  <c r="P10" i="22" s="1"/>
  <c r="P12" i="22"/>
  <c r="N118" i="1"/>
  <c r="O118" i="2"/>
  <c r="L41" i="2"/>
  <c r="O43" i="2"/>
  <c r="L20" i="5"/>
  <c r="L12" i="5"/>
  <c r="O22" i="5"/>
  <c r="O142" i="3"/>
  <c r="L140" i="3"/>
  <c r="O140" i="3" s="1"/>
  <c r="O120" i="8"/>
  <c r="L118" i="8"/>
  <c r="O118" i="8" s="1"/>
  <c r="P9" i="12"/>
  <c r="O22" i="10"/>
  <c r="L12" i="10"/>
  <c r="L20" i="10"/>
  <c r="P68" i="21"/>
  <c r="M66" i="21"/>
  <c r="O23" i="1"/>
  <c r="L13" i="1"/>
  <c r="O13" i="1" s="1"/>
  <c r="P26" i="6"/>
  <c r="M16" i="6"/>
  <c r="P16" i="6" s="1"/>
  <c r="L20" i="9"/>
  <c r="O22" i="9"/>
  <c r="L12" i="9"/>
  <c r="O96" i="8"/>
  <c r="L94" i="8"/>
  <c r="O94" i="8" s="1"/>
  <c r="O252" i="13"/>
  <c r="L250" i="13"/>
  <c r="O250" i="13" s="1"/>
  <c r="P12" i="13"/>
  <c r="M10" i="13"/>
  <c r="L20" i="18"/>
  <c r="O22" i="18"/>
  <c r="L12" i="18"/>
  <c r="O94" i="2"/>
  <c r="O22" i="16"/>
  <c r="L12" i="16"/>
  <c r="L20" i="16"/>
  <c r="O55" i="4"/>
  <c r="L53" i="4"/>
  <c r="O53" i="4" s="1"/>
  <c r="P12" i="5"/>
  <c r="M10" i="11"/>
  <c r="P12" i="11"/>
  <c r="O29" i="14"/>
  <c r="L28" i="14"/>
  <c r="O28" i="14" s="1"/>
  <c r="O118" i="17"/>
  <c r="O222" i="22"/>
  <c r="L220" i="22"/>
  <c r="O220" i="22" s="1"/>
  <c r="O271" i="3"/>
  <c r="P18" i="7"/>
  <c r="P16" i="12"/>
  <c r="P9" i="20"/>
  <c r="O55" i="21"/>
  <c r="L53" i="21"/>
  <c r="O53" i="21" s="1"/>
  <c r="O29" i="16"/>
  <c r="L28" i="16"/>
  <c r="O28" i="16" s="1"/>
  <c r="L290" i="5"/>
  <c r="O292" i="5"/>
  <c r="M10" i="17"/>
  <c r="P10" i="17" s="1"/>
  <c r="P12" i="17"/>
  <c r="O140" i="2"/>
  <c r="M329" i="5"/>
  <c r="P329" i="5" s="1"/>
  <c r="P331" i="5"/>
  <c r="O292" i="7"/>
  <c r="L290" i="7"/>
  <c r="O290" i="7" s="1"/>
  <c r="O9" i="11"/>
  <c r="P9" i="17"/>
  <c r="P9" i="18"/>
  <c r="O9" i="15"/>
  <c r="P41" i="4"/>
  <c r="P20" i="13"/>
  <c r="M18" i="13"/>
  <c r="P18" i="13" s="1"/>
  <c r="M18" i="18"/>
  <c r="P18" i="18" s="1"/>
  <c r="P20" i="3"/>
  <c r="M18" i="3"/>
  <c r="P18" i="3" s="1"/>
  <c r="P310" i="2"/>
  <c r="M310" i="1"/>
  <c r="P310" i="1" s="1"/>
  <c r="O142" i="9"/>
  <c r="L140" i="9"/>
  <c r="O140" i="9" s="1"/>
  <c r="P53" i="11"/>
  <c r="M37" i="11"/>
  <c r="P37" i="11" s="1"/>
  <c r="O30" i="15"/>
  <c r="L28" i="15"/>
  <c r="O28" i="15" s="1"/>
  <c r="O43" i="16"/>
  <c r="L41" i="16"/>
  <c r="O222" i="19"/>
  <c r="L220" i="19"/>
  <c r="O220" i="19" s="1"/>
  <c r="P12" i="20"/>
  <c r="O292" i="11"/>
  <c r="L290" i="11"/>
  <c r="O290" i="11" s="1"/>
  <c r="P273" i="1"/>
  <c r="O9" i="9"/>
  <c r="O41" i="7"/>
  <c r="P96" i="5"/>
  <c r="M94" i="5"/>
  <c r="P94" i="5" s="1"/>
  <c r="P12" i="10"/>
  <c r="P20" i="12"/>
  <c r="M18" i="12"/>
  <c r="P18" i="12" s="1"/>
  <c r="N8" i="21"/>
  <c r="L14" i="1"/>
  <c r="O14" i="1" s="1"/>
  <c r="P55" i="1"/>
  <c r="M53" i="1"/>
  <c r="P53" i="1" s="1"/>
  <c r="P20" i="4"/>
  <c r="M18" i="4"/>
  <c r="P18" i="4" s="1"/>
  <c r="M26" i="1"/>
  <c r="M43" i="1"/>
  <c r="P49" i="1"/>
  <c r="O273" i="8"/>
  <c r="L271" i="8"/>
  <c r="O271" i="8" s="1"/>
  <c r="L120" i="1"/>
  <c r="O120" i="1" s="1"/>
  <c r="P20" i="6"/>
  <c r="M18" i="6"/>
  <c r="P18" i="6" s="1"/>
  <c r="P9" i="7"/>
  <c r="O331" i="13"/>
  <c r="L329" i="13"/>
  <c r="O142" i="14"/>
  <c r="L140" i="14"/>
  <c r="O140" i="14" s="1"/>
  <c r="O55" i="17"/>
  <c r="L53" i="17"/>
  <c r="O53" i="17" s="1"/>
  <c r="P331" i="16"/>
  <c r="M329" i="16"/>
  <c r="P329" i="16" s="1"/>
  <c r="P12" i="4"/>
  <c r="M37" i="8"/>
  <c r="O292" i="16"/>
  <c r="L290" i="16"/>
  <c r="O290" i="16" s="1"/>
  <c r="M8" i="10"/>
  <c r="O68" i="6"/>
  <c r="L66" i="6"/>
  <c r="O66" i="6" s="1"/>
  <c r="N10" i="8"/>
  <c r="N8" i="8" s="1"/>
  <c r="P12" i="18"/>
  <c r="M18" i="22"/>
  <c r="P18" i="22" s="1"/>
  <c r="O96" i="3"/>
  <c r="L94" i="3"/>
  <c r="P43" i="5"/>
  <c r="M41" i="5"/>
  <c r="M8" i="15"/>
  <c r="P8" i="15" s="1"/>
  <c r="P9" i="15"/>
  <c r="L28" i="20"/>
  <c r="O28" i="20" s="1"/>
  <c r="O9" i="5"/>
  <c r="L12" i="17"/>
  <c r="L20" i="17"/>
  <c r="O22" i="17"/>
  <c r="L28" i="18"/>
  <c r="O28" i="18" s="1"/>
  <c r="O14" i="13"/>
  <c r="P41" i="14"/>
  <c r="M37" i="14"/>
  <c r="N10" i="19"/>
  <c r="N8" i="19" s="1"/>
  <c r="M37" i="19"/>
  <c r="O68" i="4"/>
  <c r="L66" i="4"/>
  <c r="L68" i="1"/>
  <c r="O68" i="1" s="1"/>
  <c r="M10" i="19"/>
  <c r="P12" i="19"/>
  <c r="P331" i="21"/>
  <c r="M329" i="21"/>
  <c r="P329" i="21" s="1"/>
  <c r="N37" i="3"/>
  <c r="O118" i="3"/>
  <c r="O55" i="13"/>
  <c r="L53" i="13"/>
  <c r="O53" i="13" s="1"/>
  <c r="O41" i="8"/>
  <c r="P312" i="1"/>
  <c r="N18" i="10"/>
  <c r="P18" i="10" s="1"/>
  <c r="P20" i="10"/>
  <c r="L9" i="4"/>
  <c r="O11" i="4"/>
  <c r="M220" i="1"/>
  <c r="P12" i="6"/>
  <c r="L94" i="20"/>
  <c r="O96" i="20"/>
  <c r="O57" i="1"/>
  <c r="L55" i="1"/>
  <c r="P140" i="2"/>
  <c r="M140" i="1"/>
  <c r="O29" i="5"/>
  <c r="L28" i="5"/>
  <c r="O28" i="5" s="1"/>
  <c r="P331" i="4"/>
  <c r="M329" i="4"/>
  <c r="M331" i="1"/>
  <c r="P331" i="1" s="1"/>
  <c r="P9" i="1"/>
  <c r="O43" i="13"/>
  <c r="L41" i="13"/>
  <c r="O29" i="13"/>
  <c r="L28" i="13"/>
  <c r="O28" i="13" s="1"/>
  <c r="O43" i="17"/>
  <c r="L41" i="17"/>
  <c r="O9" i="20"/>
  <c r="O96" i="22"/>
  <c r="L94" i="22"/>
  <c r="O94" i="22" s="1"/>
  <c r="O273" i="14"/>
  <c r="L271" i="14"/>
  <c r="O271" i="14" s="1"/>
  <c r="O29" i="19"/>
  <c r="L28" i="19"/>
  <c r="O28" i="19" s="1"/>
  <c r="O22" i="12"/>
  <c r="L12" i="12"/>
  <c r="L20" i="12"/>
  <c r="O222" i="15"/>
  <c r="L220" i="15"/>
  <c r="O220" i="15" s="1"/>
  <c r="O9" i="21"/>
  <c r="O16" i="8"/>
  <c r="L20" i="21"/>
  <c r="L12" i="21"/>
  <c r="O22" i="21"/>
  <c r="O20" i="6"/>
  <c r="L10" i="4"/>
  <c r="O10" i="4" s="1"/>
  <c r="O12" i="4"/>
  <c r="N271" i="1"/>
  <c r="O271" i="2"/>
  <c r="P53" i="2"/>
  <c r="M37" i="2"/>
  <c r="P9" i="8"/>
  <c r="P271" i="2"/>
  <c r="M271" i="1"/>
  <c r="P12" i="12"/>
  <c r="M10" i="12"/>
  <c r="O273" i="22"/>
  <c r="L271" i="22"/>
  <c r="O271" i="22" s="1"/>
  <c r="M250" i="1"/>
  <c r="P250" i="1" s="1"/>
  <c r="P250" i="2"/>
  <c r="O29" i="4"/>
  <c r="L28" i="4"/>
  <c r="O28" i="4" s="1"/>
  <c r="L20" i="8"/>
  <c r="O22" i="8"/>
  <c r="L12" i="8"/>
  <c r="L20" i="20"/>
  <c r="O22" i="20"/>
  <c r="L12" i="20"/>
  <c r="O9" i="14"/>
  <c r="P331" i="20"/>
  <c r="M329" i="20"/>
  <c r="P329" i="20" s="1"/>
  <c r="P290" i="4"/>
  <c r="M290" i="1"/>
  <c r="P290" i="1" s="1"/>
  <c r="O41" i="9"/>
  <c r="O11" i="13"/>
  <c r="L9" i="13"/>
  <c r="L9" i="7"/>
  <c r="O11" i="7"/>
  <c r="L9" i="10"/>
  <c r="O11" i="10"/>
  <c r="O43" i="11"/>
  <c r="L41" i="11"/>
  <c r="O252" i="9"/>
  <c r="L250" i="9"/>
  <c r="O250" i="9" s="1"/>
  <c r="O271" i="17"/>
  <c r="O11" i="3"/>
  <c r="L9" i="3"/>
  <c r="M16" i="5"/>
  <c r="P16" i="5" s="1"/>
  <c r="P26" i="5"/>
  <c r="O55" i="9"/>
  <c r="L53" i="9"/>
  <c r="O53" i="9" s="1"/>
  <c r="P41" i="9"/>
  <c r="M37" i="17"/>
  <c r="M66" i="18"/>
  <c r="P68" i="18"/>
  <c r="L9" i="19"/>
  <c r="O11" i="19"/>
  <c r="M18" i="17"/>
  <c r="P18" i="17" s="1"/>
  <c r="O250" i="2"/>
  <c r="P9" i="22"/>
  <c r="L222" i="1"/>
  <c r="O222" i="1" s="1"/>
  <c r="O222" i="2"/>
  <c r="L220" i="2"/>
  <c r="L28" i="12"/>
  <c r="O28" i="12" s="1"/>
  <c r="P12" i="21"/>
  <c r="P94" i="2"/>
  <c r="O55" i="12"/>
  <c r="L53" i="12"/>
  <c r="P41" i="13"/>
  <c r="M37" i="13"/>
  <c r="P37" i="13" s="1"/>
  <c r="P9" i="2"/>
  <c r="O43" i="21"/>
  <c r="L41" i="21"/>
  <c r="L273" i="1"/>
  <c r="O273" i="1" s="1"/>
  <c r="P26" i="16"/>
  <c r="M16" i="16"/>
  <c r="M20" i="16"/>
  <c r="O9" i="6"/>
  <c r="M118" i="1"/>
  <c r="P118" i="2"/>
  <c r="O29" i="6"/>
  <c r="L28" i="6"/>
  <c r="O28" i="6" s="1"/>
  <c r="O9" i="17"/>
  <c r="L20" i="2"/>
  <c r="O22" i="2"/>
  <c r="L12" i="2"/>
  <c r="P9" i="3"/>
  <c r="O252" i="7"/>
  <c r="L250" i="7"/>
  <c r="O250" i="7" s="1"/>
  <c r="P26" i="14"/>
  <c r="M16" i="14"/>
  <c r="P16" i="14" s="1"/>
  <c r="P26" i="4"/>
  <c r="M16" i="4"/>
  <c r="P16" i="4" s="1"/>
  <c r="O29" i="7"/>
  <c r="L28" i="7"/>
  <c r="O28" i="7" s="1"/>
  <c r="L28" i="10"/>
  <c r="O28" i="10" s="1"/>
  <c r="O29" i="10"/>
  <c r="O22" i="11"/>
  <c r="L12" i="11"/>
  <c r="L20" i="11"/>
  <c r="P16" i="19"/>
  <c r="O16" i="19"/>
  <c r="L28" i="3"/>
  <c r="O28" i="3" s="1"/>
  <c r="O29" i="3"/>
  <c r="M329" i="6"/>
  <c r="P329" i="6" s="1"/>
  <c r="P331" i="6"/>
  <c r="O222" i="12"/>
  <c r="L220" i="12"/>
  <c r="O220" i="12" s="1"/>
  <c r="P9" i="14"/>
  <c r="M16" i="18"/>
  <c r="P16" i="18" s="1"/>
  <c r="P26" i="18"/>
  <c r="O11" i="22"/>
  <c r="L9" i="22"/>
  <c r="O120" i="20"/>
  <c r="L118" i="20"/>
  <c r="O118" i="20" s="1"/>
  <c r="O53" i="3"/>
  <c r="P18" i="9"/>
  <c r="O22" i="13"/>
  <c r="L20" i="13"/>
  <c r="L12" i="13"/>
  <c r="N8" i="20"/>
  <c r="M10" i="8"/>
  <c r="P12" i="8"/>
  <c r="O14" i="17"/>
  <c r="O20" i="14"/>
  <c r="M37" i="10"/>
  <c r="P37" i="10" s="1"/>
  <c r="P41" i="10"/>
  <c r="O41" i="22"/>
  <c r="P12" i="7"/>
  <c r="O22" i="22"/>
  <c r="L12" i="22"/>
  <c r="L20" i="22"/>
  <c r="O9" i="8"/>
  <c r="O26" i="1"/>
  <c r="L16" i="1"/>
  <c r="O16" i="1" s="1"/>
  <c r="O310" i="2"/>
  <c r="N329" i="1"/>
  <c r="P329" i="2"/>
  <c r="O329" i="2"/>
  <c r="O292" i="3"/>
  <c r="L292" i="1"/>
  <c r="O292" i="1" s="1"/>
  <c r="L290" i="3"/>
  <c r="P9" i="4"/>
  <c r="M16" i="20"/>
  <c r="P16" i="20" s="1"/>
  <c r="P26" i="20"/>
  <c r="O45" i="1"/>
  <c r="L22" i="1"/>
  <c r="L43" i="1"/>
  <c r="P12" i="14"/>
  <c r="P66" i="2"/>
  <c r="L331" i="1"/>
  <c r="O331" i="1" s="1"/>
  <c r="P10" i="15"/>
  <c r="L20" i="19"/>
  <c r="O22" i="19"/>
  <c r="L12" i="19"/>
  <c r="O30" i="21"/>
  <c r="L28" i="21"/>
  <c r="O28" i="21" s="1"/>
  <c r="O43" i="10"/>
  <c r="L41" i="10"/>
  <c r="L140" i="18"/>
  <c r="O140" i="18" s="1"/>
  <c r="O142" i="18"/>
  <c r="P9" i="21"/>
  <c r="L28" i="22"/>
  <c r="O28" i="22" s="1"/>
  <c r="O29" i="22"/>
  <c r="M20" i="20"/>
  <c r="O32" i="1"/>
  <c r="L30" i="1"/>
  <c r="O30" i="1" s="1"/>
  <c r="M20" i="5"/>
  <c r="M10" i="9"/>
  <c r="P10" i="9" s="1"/>
  <c r="P12" i="9"/>
  <c r="P20" i="11"/>
  <c r="O142" i="11"/>
  <c r="L140" i="11"/>
  <c r="O140" i="11" s="1"/>
  <c r="M37" i="22"/>
  <c r="P37" i="22" s="1"/>
  <c r="M20" i="21"/>
  <c r="P41" i="3"/>
  <c r="M37" i="3"/>
  <c r="P9" i="9"/>
  <c r="O29" i="8"/>
  <c r="L28" i="8"/>
  <c r="O28" i="8" s="1"/>
  <c r="O9" i="12"/>
  <c r="M10" i="7"/>
  <c r="P10" i="7" s="1"/>
  <c r="L9" i="16"/>
  <c r="O11" i="16"/>
  <c r="O20" i="7"/>
  <c r="L18" i="7"/>
  <c r="O18" i="7" s="1"/>
  <c r="N37" i="2"/>
  <c r="N8" i="1" l="1"/>
  <c r="P41" i="7"/>
  <c r="L18" i="15"/>
  <c r="O18" i="15" s="1"/>
  <c r="P37" i="14"/>
  <c r="O12" i="15"/>
  <c r="M8" i="2"/>
  <c r="P8" i="2" s="1"/>
  <c r="P220" i="1"/>
  <c r="M66" i="1"/>
  <c r="P66" i="1" s="1"/>
  <c r="L18" i="4"/>
  <c r="O18" i="4" s="1"/>
  <c r="M37" i="16"/>
  <c r="P37" i="16" s="1"/>
  <c r="P10" i="8"/>
  <c r="P12" i="1"/>
  <c r="P140" i="1"/>
  <c r="P37" i="8"/>
  <c r="L10" i="14"/>
  <c r="O10" i="14" s="1"/>
  <c r="P37" i="19"/>
  <c r="M8" i="3"/>
  <c r="P8" i="3" s="1"/>
  <c r="O12" i="7"/>
  <c r="M10" i="14"/>
  <c r="P10" i="14" s="1"/>
  <c r="P8" i="10"/>
  <c r="M18" i="19"/>
  <c r="P18" i="19" s="1"/>
  <c r="P20" i="8"/>
  <c r="L18" i="3"/>
  <c r="O18" i="3" s="1"/>
  <c r="M37" i="9"/>
  <c r="P37" i="9" s="1"/>
  <c r="L10" i="6"/>
  <c r="O10" i="6" s="1"/>
  <c r="L37" i="22"/>
  <c r="O37" i="22" s="1"/>
  <c r="P37" i="17"/>
  <c r="M8" i="22"/>
  <c r="P8" i="22" s="1"/>
  <c r="M10" i="21"/>
  <c r="P10" i="21" s="1"/>
  <c r="O12" i="3"/>
  <c r="L310" i="1"/>
  <c r="O310" i="1" s="1"/>
  <c r="P118" i="1"/>
  <c r="L37" i="6"/>
  <c r="O37" i="6" s="1"/>
  <c r="L94" i="1"/>
  <c r="O94" i="1" s="1"/>
  <c r="M10" i="20"/>
  <c r="P10" i="20" s="1"/>
  <c r="L37" i="7"/>
  <c r="O37" i="7" s="1"/>
  <c r="N37" i="1"/>
  <c r="L28" i="1"/>
  <c r="O28" i="1" s="1"/>
  <c r="L118" i="1"/>
  <c r="O118" i="1" s="1"/>
  <c r="M8" i="9"/>
  <c r="P8" i="9" s="1"/>
  <c r="L8" i="6"/>
  <c r="O8" i="6" s="1"/>
  <c r="P10" i="12"/>
  <c r="M37" i="20"/>
  <c r="P37" i="20" s="1"/>
  <c r="M8" i="17"/>
  <c r="P8" i="17" s="1"/>
  <c r="L18" i="21"/>
  <c r="O18" i="21" s="1"/>
  <c r="O20" i="21"/>
  <c r="O55" i="1"/>
  <c r="L53" i="1"/>
  <c r="O53" i="1" s="1"/>
  <c r="L140" i="1"/>
  <c r="O140" i="1" s="1"/>
  <c r="L18" i="16"/>
  <c r="O18" i="16" s="1"/>
  <c r="O20" i="16"/>
  <c r="O20" i="10"/>
  <c r="L18" i="10"/>
  <c r="O18" i="10" s="1"/>
  <c r="O9" i="16"/>
  <c r="P37" i="3"/>
  <c r="O12" i="22"/>
  <c r="L10" i="22"/>
  <c r="O10" i="22" s="1"/>
  <c r="L250" i="1"/>
  <c r="O250" i="1" s="1"/>
  <c r="O9" i="13"/>
  <c r="O41" i="13"/>
  <c r="L37" i="13"/>
  <c r="O37" i="13" s="1"/>
  <c r="M10" i="18"/>
  <c r="L37" i="19"/>
  <c r="O37" i="19" s="1"/>
  <c r="M37" i="6"/>
  <c r="P37" i="6" s="1"/>
  <c r="O12" i="16"/>
  <c r="L10" i="16"/>
  <c r="O10" i="16" s="1"/>
  <c r="P10" i="13"/>
  <c r="M8" i="13"/>
  <c r="P8" i="13" s="1"/>
  <c r="O20" i="9"/>
  <c r="L18" i="9"/>
  <c r="O18" i="9" s="1"/>
  <c r="O12" i="10"/>
  <c r="L10" i="10"/>
  <c r="O10" i="10" s="1"/>
  <c r="P329" i="4"/>
  <c r="M329" i="1"/>
  <c r="P329" i="1" s="1"/>
  <c r="O9" i="7"/>
  <c r="L8" i="7"/>
  <c r="O8" i="7" s="1"/>
  <c r="P20" i="5"/>
  <c r="M18" i="5"/>
  <c r="P18" i="5" s="1"/>
  <c r="O329" i="13"/>
  <c r="L329" i="1"/>
  <c r="O329" i="1" s="1"/>
  <c r="O12" i="2"/>
  <c r="L10" i="2"/>
  <c r="O220" i="2"/>
  <c r="L220" i="1"/>
  <c r="O220" i="1" s="1"/>
  <c r="O41" i="11"/>
  <c r="L37" i="11"/>
  <c r="O37" i="11" s="1"/>
  <c r="L37" i="9"/>
  <c r="O37" i="9" s="1"/>
  <c r="L10" i="20"/>
  <c r="O12" i="20"/>
  <c r="P271" i="1"/>
  <c r="O94" i="20"/>
  <c r="L37" i="20"/>
  <c r="O37" i="20" s="1"/>
  <c r="M10" i="4"/>
  <c r="O20" i="22"/>
  <c r="L18" i="22"/>
  <c r="O18" i="22" s="1"/>
  <c r="O20" i="8"/>
  <c r="L18" i="8"/>
  <c r="O18" i="8" s="1"/>
  <c r="O9" i="4"/>
  <c r="L8" i="4"/>
  <c r="O8" i="4" s="1"/>
  <c r="O20" i="19"/>
  <c r="L18" i="19"/>
  <c r="O18" i="19" s="1"/>
  <c r="O41" i="10"/>
  <c r="L37" i="10"/>
  <c r="O37" i="10" s="1"/>
  <c r="O290" i="3"/>
  <c r="L290" i="1"/>
  <c r="O290" i="1" s="1"/>
  <c r="O20" i="11"/>
  <c r="L18" i="11"/>
  <c r="O18" i="11" s="1"/>
  <c r="O53" i="12"/>
  <c r="L37" i="12"/>
  <c r="O37" i="12" s="1"/>
  <c r="O9" i="19"/>
  <c r="L37" i="8"/>
  <c r="O37" i="8" s="1"/>
  <c r="P41" i="5"/>
  <c r="M37" i="5"/>
  <c r="P37" i="5" s="1"/>
  <c r="M8" i="7"/>
  <c r="P8" i="7" s="1"/>
  <c r="M8" i="12"/>
  <c r="P8" i="12" s="1"/>
  <c r="O12" i="5"/>
  <c r="L10" i="5"/>
  <c r="O12" i="19"/>
  <c r="L10" i="19"/>
  <c r="O10" i="19" s="1"/>
  <c r="P10" i="19"/>
  <c r="M8" i="19"/>
  <c r="P8" i="19" s="1"/>
  <c r="O66" i="4"/>
  <c r="L66" i="1"/>
  <c r="O66" i="1" s="1"/>
  <c r="L271" i="1"/>
  <c r="O271" i="1" s="1"/>
  <c r="P20" i="21"/>
  <c r="M18" i="21"/>
  <c r="P18" i="21" s="1"/>
  <c r="P20" i="20"/>
  <c r="M18" i="20"/>
  <c r="P18" i="20" s="1"/>
  <c r="O12" i="11"/>
  <c r="L10" i="11"/>
  <c r="O20" i="2"/>
  <c r="L18" i="2"/>
  <c r="O18" i="2" s="1"/>
  <c r="O20" i="20"/>
  <c r="L18" i="20"/>
  <c r="O18" i="20" s="1"/>
  <c r="M8" i="8"/>
  <c r="P8" i="8" s="1"/>
  <c r="L37" i="17"/>
  <c r="O37" i="17" s="1"/>
  <c r="O41" i="17"/>
  <c r="M10" i="6"/>
  <c r="O20" i="17"/>
  <c r="L18" i="17"/>
  <c r="O18" i="17" s="1"/>
  <c r="M41" i="1"/>
  <c r="P43" i="1"/>
  <c r="O41" i="16"/>
  <c r="L37" i="16"/>
  <c r="O37" i="16" s="1"/>
  <c r="M37" i="4"/>
  <c r="P37" i="4" s="1"/>
  <c r="L37" i="4"/>
  <c r="O37" i="4" s="1"/>
  <c r="M10" i="5"/>
  <c r="O12" i="18"/>
  <c r="L10" i="18"/>
  <c r="O20" i="5"/>
  <c r="L18" i="5"/>
  <c r="O18" i="5" s="1"/>
  <c r="O20" i="13"/>
  <c r="L18" i="13"/>
  <c r="O18" i="13" s="1"/>
  <c r="P10" i="11"/>
  <c r="M8" i="11"/>
  <c r="P8" i="11" s="1"/>
  <c r="L41" i="1"/>
  <c r="O43" i="1"/>
  <c r="L20" i="1"/>
  <c r="O22" i="1"/>
  <c r="L12" i="1"/>
  <c r="O9" i="22"/>
  <c r="P20" i="16"/>
  <c r="M18" i="16"/>
  <c r="P18" i="16" s="1"/>
  <c r="O41" i="21"/>
  <c r="L37" i="21"/>
  <c r="O37" i="21" s="1"/>
  <c r="M94" i="1"/>
  <c r="P94" i="1" s="1"/>
  <c r="P66" i="18"/>
  <c r="M37" i="18"/>
  <c r="P37" i="18" s="1"/>
  <c r="L8" i="3"/>
  <c r="O8" i="3" s="1"/>
  <c r="O9" i="3"/>
  <c r="O9" i="10"/>
  <c r="O12" i="8"/>
  <c r="L10" i="8"/>
  <c r="O20" i="12"/>
  <c r="L18" i="12"/>
  <c r="O18" i="12" s="1"/>
  <c r="L37" i="18"/>
  <c r="O37" i="18" s="1"/>
  <c r="L37" i="15"/>
  <c r="O37" i="15" s="1"/>
  <c r="L10" i="17"/>
  <c r="O12" i="17"/>
  <c r="O94" i="3"/>
  <c r="L37" i="3"/>
  <c r="O37" i="3" s="1"/>
  <c r="M16" i="1"/>
  <c r="P26" i="1"/>
  <c r="M20" i="1"/>
  <c r="P66" i="21"/>
  <c r="M37" i="21"/>
  <c r="P37" i="21" s="1"/>
  <c r="L10" i="13"/>
  <c r="O10" i="13" s="1"/>
  <c r="O12" i="13"/>
  <c r="P16" i="16"/>
  <c r="M10" i="16"/>
  <c r="P37" i="2"/>
  <c r="O12" i="21"/>
  <c r="L10" i="21"/>
  <c r="L10" i="12"/>
  <c r="O12" i="12"/>
  <c r="L37" i="14"/>
  <c r="O37" i="14" s="1"/>
  <c r="L8" i="15"/>
  <c r="O8" i="15" s="1"/>
  <c r="O290" i="5"/>
  <c r="L37" i="5"/>
  <c r="O37" i="5" s="1"/>
  <c r="O20" i="18"/>
  <c r="L18" i="18"/>
  <c r="O18" i="18" s="1"/>
  <c r="O12" i="9"/>
  <c r="L10" i="9"/>
  <c r="O41" i="2"/>
  <c r="L37" i="2"/>
  <c r="O37" i="2" s="1"/>
  <c r="M8" i="14" l="1"/>
  <c r="P8" i="14" s="1"/>
  <c r="L8" i="14"/>
  <c r="O8" i="14" s="1"/>
  <c r="M8" i="21"/>
  <c r="P8" i="21" s="1"/>
  <c r="L8" i="10"/>
  <c r="O8" i="10" s="1"/>
  <c r="M8" i="20"/>
  <c r="P8" i="20" s="1"/>
  <c r="L8" i="22"/>
  <c r="O8" i="22" s="1"/>
  <c r="O10" i="8"/>
  <c r="L8" i="8"/>
  <c r="O8" i="8" s="1"/>
  <c r="O10" i="9"/>
  <c r="L8" i="9"/>
  <c r="O8" i="9" s="1"/>
  <c r="O20" i="1"/>
  <c r="L18" i="1"/>
  <c r="O18" i="1" s="1"/>
  <c r="L8" i="19"/>
  <c r="O8" i="19" s="1"/>
  <c r="O10" i="17"/>
  <c r="L8" i="17"/>
  <c r="O8" i="17" s="1"/>
  <c r="O41" i="1"/>
  <c r="L37" i="1"/>
  <c r="O37" i="1" s="1"/>
  <c r="P10" i="4"/>
  <c r="M8" i="4"/>
  <c r="P8" i="4" s="1"/>
  <c r="P10" i="18"/>
  <c r="M8" i="18"/>
  <c r="P8" i="18" s="1"/>
  <c r="P20" i="1"/>
  <c r="M18" i="1"/>
  <c r="P18" i="1" s="1"/>
  <c r="P10" i="6"/>
  <c r="M8" i="6"/>
  <c r="P8" i="6" s="1"/>
  <c r="O10" i="11"/>
  <c r="L8" i="11"/>
  <c r="O8" i="11" s="1"/>
  <c r="O10" i="20"/>
  <c r="L8" i="20"/>
  <c r="O8" i="20" s="1"/>
  <c r="M37" i="1"/>
  <c r="P37" i="1" s="1"/>
  <c r="P41" i="1"/>
  <c r="P10" i="5"/>
  <c r="M8" i="5"/>
  <c r="P8" i="5" s="1"/>
  <c r="O10" i="2"/>
  <c r="L8" i="2"/>
  <c r="O8" i="2" s="1"/>
  <c r="L8" i="16"/>
  <c r="O8" i="16" s="1"/>
  <c r="O10" i="18"/>
  <c r="L8" i="18"/>
  <c r="O8" i="18" s="1"/>
  <c r="O10" i="5"/>
  <c r="L8" i="5"/>
  <c r="O8" i="5" s="1"/>
  <c r="O10" i="12"/>
  <c r="L8" i="12"/>
  <c r="O8" i="12" s="1"/>
  <c r="O10" i="21"/>
  <c r="L8" i="21"/>
  <c r="O8" i="21" s="1"/>
  <c r="P10" i="16"/>
  <c r="M8" i="16"/>
  <c r="P8" i="16" s="1"/>
  <c r="P16" i="1"/>
  <c r="M10" i="1"/>
  <c r="O12" i="1"/>
  <c r="L10" i="1"/>
  <c r="L8" i="13"/>
  <c r="O8" i="13" s="1"/>
  <c r="O10" i="1" l="1"/>
  <c r="L8" i="1"/>
  <c r="O8" i="1" s="1"/>
  <c r="P10" i="1"/>
  <c r="M8" i="1"/>
  <c r="P8" i="1" s="1"/>
</calcChain>
</file>

<file path=xl/sharedStrings.xml><?xml version="1.0" encoding="utf-8"?>
<sst xmlns="http://schemas.openxmlformats.org/spreadsheetml/2006/main" count="27500" uniqueCount="281">
  <si>
    <t>รายละเอียดแผนงาน/โครงการ ผลผลิต/กิจกรรม ปีงบประมาณ พ.ศ. 2565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</si>
  <si>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</si>
  <si>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</si>
  <si>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</si>
  <si>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</si>
  <si>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</si>
  <si>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</si>
  <si>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</si>
  <si>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</si>
  <si>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</si>
  <si>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</si>
  <si>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</si>
  <si>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</si>
  <si>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</si>
  <si>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</si>
  <si>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</si>
  <si>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</si>
  <si>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</si>
  <si>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</si>
  <si>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</si>
  <si>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</si>
  <si>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</si>
  <si>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</si>
  <si>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</si>
  <si>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</si>
  <si>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</si>
  <si>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</si>
  <si>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</si>
  <si>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</si>
  <si>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</si>
  <si>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</si>
  <si>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</si>
  <si>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</si>
  <si>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</si>
  <si>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</si>
  <si>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</si>
  <si>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</si>
  <si>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</si>
  <si>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</si>
  <si>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</si>
  <si>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</si>
  <si>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</si>
  <si>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</si>
  <si>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</si>
  <si>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</si>
  <si>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</si>
  <si>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</si>
  <si>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</si>
  <si>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</si>
  <si>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</si>
  <si>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</si>
  <si>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</si>
  <si>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</si>
  <si>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</si>
  <si>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</si>
  <si>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</si>
  <si>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</si>
  <si>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</si>
  <si>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</si>
  <si>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</si>
  <si>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</si>
  <si>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</si>
  <si>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</si>
  <si>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</si>
  <si>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</si>
  <si>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</si>
  <si>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</si>
  <si>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</si>
  <si>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</si>
  <si>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</si>
  <si>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</si>
  <si>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</si>
  <si>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</si>
  <si>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</si>
  <si>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</si>
  <si>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</si>
  <si>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</si>
  <si>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</si>
  <si>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</si>
  <si>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</si>
  <si>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</si>
  <si>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</si>
  <si>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</si>
  <si>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</si>
  <si>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</si>
  <si>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</si>
  <si>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</si>
  <si>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</si>
  <si>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</si>
  <si>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</si>
  <si>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</si>
  <si>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</si>
  <si>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</si>
  <si>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</si>
  <si>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</si>
  <si>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</si>
  <si>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</si>
  <si>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</si>
  <si>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</si>
  <si>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</si>
  <si>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</si>
  <si>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</si>
  <si>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</si>
  <si>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</si>
  <si>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</si>
  <si>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</si>
  <si>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</si>
  <si>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</si>
  <si>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</si>
  <si>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</si>
  <si>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</si>
  <si>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</si>
  <si>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</si>
  <si>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</si>
  <si>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</si>
  <si>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</si>
  <si>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</si>
  <si>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</si>
  <si>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</si>
  <si>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</si>
  <si>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</si>
  <si>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</si>
  <si>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</si>
  <si>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</si>
  <si>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</si>
  <si>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</si>
  <si>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</si>
  <si>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</si>
  <si>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</si>
  <si>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</si>
  <si>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</si>
  <si>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</si>
  <si>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</si>
  <si>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</si>
  <si>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</si>
  <si>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</si>
  <si>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</si>
  <si>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</si>
  <si>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</si>
  <si>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</si>
  <si>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</si>
  <si>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</si>
  <si>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</si>
  <si>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</si>
  <si>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</si>
  <si>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</si>
  <si>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</si>
  <si>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</si>
  <si>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</si>
  <si>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</si>
  <si>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</si>
  <si>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</si>
  <si>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</si>
  <si>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</si>
  <si>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</si>
  <si>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</si>
  <si>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</si>
  <si>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</si>
  <si>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</si>
  <si>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</si>
  <si>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</si>
  <si>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</si>
  <si>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</si>
  <si>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</si>
  <si>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</si>
  <si>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</si>
  <si>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</si>
  <si>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</si>
  <si>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</si>
  <si>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</si>
  <si>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</si>
  <si>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</si>
  <si>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</si>
  <si>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</si>
  <si>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</si>
  <si>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</si>
  <si>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</si>
  <si>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</si>
  <si>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</si>
  <si>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</si>
  <si>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</si>
  <si>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</si>
  <si>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</si>
  <si>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</si>
  <si>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</si>
  <si>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</si>
  <si>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</si>
  <si>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</si>
  <si>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</si>
  <si>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</si>
  <si>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</si>
  <si>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</si>
  <si>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</si>
  <si>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</si>
  <si>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</si>
  <si>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</si>
  <si>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</si>
  <si>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</si>
  <si>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</si>
  <si>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</si>
  <si>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</si>
  <si>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</si>
  <si>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</si>
  <si>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</si>
  <si>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</si>
  <si>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</si>
  <si>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</si>
  <si>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</si>
  <si>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</si>
  <si>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</si>
  <si>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</si>
  <si>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</si>
  <si>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</si>
  <si>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</si>
  <si>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</si>
  <si>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</si>
  <si>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</si>
  <si>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</si>
  <si>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</si>
  <si>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</si>
  <si>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</si>
  <si>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</si>
  <si>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</si>
  <si>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</si>
  <si>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</si>
  <si>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</si>
  <si>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</si>
  <si>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</si>
  <si>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</si>
  <si>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</si>
  <si>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</si>
  <si>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</si>
  <si>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</si>
  <si>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</si>
  <si>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</si>
  <si>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</si>
  <si>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</si>
  <si>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</si>
  <si>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กาญจนบุรี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</si>
  <si>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</si>
  <si>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จันทบุรี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</si>
  <si>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</si>
  <si>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ฉะเชิงเทรา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</si>
  <si>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</si>
  <si>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ชลบุรี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</si>
  <si>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</si>
  <si>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ชัยนาท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</si>
  <si>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</si>
  <si>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ตราด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</si>
  <si>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</si>
  <si>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นครนายก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</si>
  <si>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</si>
  <si>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นครปฐม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</si>
  <si>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</si>
  <si>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ปทุมธานี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</si>
  <si>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</si>
  <si>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ประจวบคีรีขันธ์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</si>
  <si>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</si>
  <si>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ปราจีนบุรี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</si>
  <si>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</si>
  <si>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พระนครศรีอยุธยา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</si>
  <si>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</si>
  <si>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</si>
  <si>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</si>
  <si>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ระยอง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</si>
  <si>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</si>
  <si>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ราชบุรี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</si>
  <si>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</si>
  <si>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ลพบุรี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</si>
  <si>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</si>
  <si>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สระแก้ว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</si>
  <si>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</si>
  <si>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</si>
  <si>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</si>
  <si>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สิงห์บุรี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</si>
  <si>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</si>
  <si>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สุพรรณบุรี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</si>
  <si>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</si>
  <si>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อ่างทอง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</si>
  <si>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</si>
  <si>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มีนาคม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</si>
</sst>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16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38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pane="bottomLeft" activeCell="G555" sqref="G555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6.7265625" bestFit="1" customWidth="1"/>
    <col min="10" max="10" width="15.36328125" bestFit="1" customWidth="1"/>
    <col min="11" max="11" width="12.0898437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1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ca="1">L9+L10</f>
        <v>93918498</v>
      </c>
      <c r="M8" s="23">
        <f ca="1">M9+M10</f>
        <v>54258761.039999999</v>
      </c>
      <c r="N8" s="23">
        <f ca="1">N9+N10</f>
        <v>46922702.939999998</v>
      </c>
      <c r="O8" s="22">
        <f t="shared" ref="O8:O16" ca="1" si="0">IF(L8&gt;0,N8*100/L8,0)</f>
        <v>49.961087473950023</v>
      </c>
      <c r="P8" s="22">
        <f t="shared" ref="P8:P16" ca="1" si="1">IF(M8&gt;0,N8*100/M8,0)</f>
        <v>86.479495736012481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10" ca="1" si="2">L11+L15</f>
        <v>0</v>
      </c>
      <c r="M9" s="30">
        <f t="shared" si="2"/>
        <v>0</v>
      </c>
      <c r="N9" s="30">
        <f t="shared" ca="1" si="2"/>
        <v>0</v>
      </c>
      <c r="O9" s="29">
        <f t="shared" ca="1" si="0"/>
        <v>0</v>
      </c>
      <c r="P9" s="29">
        <f t="shared" si="1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ca="1" si="2"/>
        <v>93918498</v>
      </c>
      <c r="M10" s="30">
        <f t="shared" ca="1" si="2"/>
        <v>54258761.039999999</v>
      </c>
      <c r="N10" s="30">
        <f t="shared" ca="1" si="2"/>
        <v>46922702.939999998</v>
      </c>
      <c r="O10" s="29">
        <f t="shared" ca="1" si="0"/>
        <v>49.961087473950023</v>
      </c>
      <c r="P10" s="29">
        <f t="shared" ca="1" si="1"/>
        <v>86.479495736012481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6" ca="1" si="3">L21+L31</f>
        <v>0</v>
      </c>
      <c r="M11" s="38">
        <f t="shared" si="3"/>
        <v>0</v>
      </c>
      <c r="N11" s="38">
        <f t="shared" ca="1" si="3"/>
        <v>0</v>
      </c>
      <c r="O11" s="38">
        <f t="shared" ca="1" si="0"/>
        <v>0</v>
      </c>
      <c r="P11" s="38">
        <f t="shared" si="1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ca="1" si="3"/>
        <v>83174048</v>
      </c>
      <c r="M12" s="38">
        <f t="shared" ca="1" si="3"/>
        <v>43514311.039999999</v>
      </c>
      <c r="N12" s="38">
        <f t="shared" ca="1" si="3"/>
        <v>38016252.939999998</v>
      </c>
      <c r="O12" s="38">
        <f t="shared" ca="1" si="0"/>
        <v>45.706868733862756</v>
      </c>
      <c r="P12" s="38">
        <f t="shared" ca="1" si="1"/>
        <v>87.364942777225693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ca="1" si="3"/>
        <v>36670500</v>
      </c>
      <c r="M13" s="38">
        <f t="shared" si="3"/>
        <v>0</v>
      </c>
      <c r="N13" s="38">
        <f t="shared" ca="1" si="3"/>
        <v>0</v>
      </c>
      <c r="O13" s="38">
        <f t="shared" ca="1" si="0"/>
        <v>0</v>
      </c>
      <c r="P13" s="38">
        <f t="shared" si="1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ca="1" si="3"/>
        <v>46503548</v>
      </c>
      <c r="M14" s="38">
        <f t="shared" si="3"/>
        <v>0</v>
      </c>
      <c r="N14" s="38">
        <f t="shared" ca="1" si="3"/>
        <v>10570624.529999996</v>
      </c>
      <c r="O14" s="38">
        <f t="shared" ca="1" si="0"/>
        <v>22.730791487135551</v>
      </c>
      <c r="P14" s="38">
        <f t="shared" si="1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si="3"/>
        <v>0</v>
      </c>
      <c r="M15" s="38">
        <f t="shared" si="3"/>
        <v>0</v>
      </c>
      <c r="N15" s="38">
        <f t="shared" si="3"/>
        <v>0</v>
      </c>
      <c r="O15" s="41">
        <f t="shared" si="0"/>
        <v>0</v>
      </c>
      <c r="P15" s="41">
        <f t="shared" si="1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ca="1" si="3"/>
        <v>10744450</v>
      </c>
      <c r="M16" s="38">
        <f t="shared" ca="1" si="3"/>
        <v>10744450</v>
      </c>
      <c r="N16" s="38">
        <f t="shared" ca="1" si="3"/>
        <v>8906450</v>
      </c>
      <c r="O16" s="49">
        <f t="shared" ca="1" si="0"/>
        <v>82.893493850313419</v>
      </c>
      <c r="P16" s="49">
        <f t="shared" ca="1" si="1"/>
        <v>82.893493850313419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ca="1">L19+L20</f>
        <v>66225780</v>
      </c>
      <c r="M18" s="23">
        <f ca="1">M19+M20</f>
        <v>54258761.039999999</v>
      </c>
      <c r="N18" s="23">
        <f ca="1">N19+N20</f>
        <v>36352078.409999996</v>
      </c>
      <c r="O18" s="22">
        <f t="shared" ref="O18:O26" ca="1" si="4">IF(L18&gt;0,N18*100/L18,0)</f>
        <v>54.891129119204024</v>
      </c>
      <c r="P18" s="22">
        <f t="shared" ref="P18:P26" ca="1" si="5">IF(M18&gt;0,N18*100/M18,0)</f>
        <v>66.997619763563989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20" si="6">L21+L25</f>
        <v>0</v>
      </c>
      <c r="M19" s="30">
        <f t="shared" si="6"/>
        <v>0</v>
      </c>
      <c r="N19" s="30">
        <f t="shared" si="6"/>
        <v>0</v>
      </c>
      <c r="O19" s="29">
        <f t="shared" si="4"/>
        <v>0</v>
      </c>
      <c r="P19" s="29">
        <f t="shared" si="5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ca="1" si="6"/>
        <v>66225780</v>
      </c>
      <c r="M20" s="30">
        <f t="shared" ca="1" si="6"/>
        <v>54258761.039999999</v>
      </c>
      <c r="N20" s="30">
        <f t="shared" ca="1" si="6"/>
        <v>36352078.409999996</v>
      </c>
      <c r="O20" s="29">
        <f t="shared" ca="1" si="4"/>
        <v>54.891129119204024</v>
      </c>
      <c r="P20" s="29">
        <f t="shared" ca="1" si="5"/>
        <v>66.997619763563989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6" si="7">L44+L56+L69+L97+L121+L143+L223+L253+L274+L293+L313+L332</f>
        <v>0</v>
      </c>
      <c r="M21" s="41">
        <f t="shared" si="7"/>
        <v>0</v>
      </c>
      <c r="N21" s="38">
        <f t="shared" si="7"/>
        <v>0</v>
      </c>
      <c r="O21" s="38">
        <f t="shared" si="4"/>
        <v>0</v>
      </c>
      <c r="P21" s="38">
        <f t="shared" si="5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ca="1" si="7"/>
        <v>55481330</v>
      </c>
      <c r="M22" s="41">
        <f t="shared" ca="1" si="7"/>
        <v>43514311.039999999</v>
      </c>
      <c r="N22" s="38">
        <f t="shared" ca="1" si="7"/>
        <v>27445628.41</v>
      </c>
      <c r="O22" s="38">
        <f t="shared" ca="1" si="4"/>
        <v>49.468223652893684</v>
      </c>
      <c r="P22" s="38">
        <f t="shared" ca="1" si="5"/>
        <v>63.072648409326625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ca="1" si="7"/>
        <v>36670500</v>
      </c>
      <c r="M23" s="41">
        <f t="shared" si="7"/>
        <v>0</v>
      </c>
      <c r="N23" s="38">
        <f t="shared" si="7"/>
        <v>0</v>
      </c>
      <c r="O23" s="38">
        <f t="shared" ca="1" si="4"/>
        <v>0</v>
      </c>
      <c r="P23" s="38">
        <f t="shared" si="5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ca="1" si="7"/>
        <v>18810830</v>
      </c>
      <c r="M24" s="41">
        <f t="shared" si="7"/>
        <v>0</v>
      </c>
      <c r="N24" s="38">
        <f t="shared" si="7"/>
        <v>0</v>
      </c>
      <c r="O24" s="38">
        <f t="shared" ca="1" si="4"/>
        <v>0</v>
      </c>
      <c r="P24" s="38">
        <f t="shared" si="5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si="7"/>
        <v>0</v>
      </c>
      <c r="M25" s="41">
        <f t="shared" si="7"/>
        <v>0</v>
      </c>
      <c r="N25" s="41">
        <f t="shared" si="7"/>
        <v>0</v>
      </c>
      <c r="O25" s="41">
        <f t="shared" si="4"/>
        <v>0</v>
      </c>
      <c r="P25" s="41">
        <f t="shared" si="5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ca="1" si="7"/>
        <v>10744450</v>
      </c>
      <c r="M26" s="49">
        <f t="shared" ca="1" si="7"/>
        <v>10744450</v>
      </c>
      <c r="N26" s="49">
        <f t="shared" ca="1" si="7"/>
        <v>8906450</v>
      </c>
      <c r="O26" s="49">
        <f t="shared" ca="1" si="4"/>
        <v>82.893493850313419</v>
      </c>
      <c r="P26" s="49">
        <f t="shared" ca="1" si="5"/>
        <v>82.893493850313419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ca="1">L29+L30</f>
        <v>27692718</v>
      </c>
      <c r="M28" s="23">
        <f>M29+M30</f>
        <v>0</v>
      </c>
      <c r="N28" s="23">
        <f ca="1">N29+N30</f>
        <v>10570624.529999996</v>
      </c>
      <c r="O28" s="22">
        <f t="shared" ref="O28:O30" ca="1" si="8">IF(L28&gt;0,N28*100/L28,0)</f>
        <v>38.171134122696067</v>
      </c>
      <c r="P28" s="22">
        <f t="shared" ref="P28:P37" si="9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30" ca="1" si="10">L31+L35</f>
        <v>0</v>
      </c>
      <c r="M29" s="30">
        <f t="shared" si="10"/>
        <v>0</v>
      </c>
      <c r="N29" s="30">
        <f t="shared" ca="1" si="10"/>
        <v>0</v>
      </c>
      <c r="O29" s="29">
        <f t="shared" ca="1" si="8"/>
        <v>0</v>
      </c>
      <c r="P29" s="29">
        <f t="shared" si="9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ca="1" si="10"/>
        <v>27692718</v>
      </c>
      <c r="M30" s="30">
        <f t="shared" si="10"/>
        <v>0</v>
      </c>
      <c r="N30" s="30">
        <f t="shared" ca="1" si="10"/>
        <v>10570624.529999996</v>
      </c>
      <c r="O30" s="29">
        <f t="shared" ca="1" si="8"/>
        <v>38.171134122696067</v>
      </c>
      <c r="P30" s="29">
        <f t="shared" si="9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4" ca="1" si="11">L351+L382+L403+L436+L456+L534+L552+L565+L581+L598</f>
        <v>0</v>
      </c>
      <c r="M31" s="38">
        <f t="shared" si="11"/>
        <v>0</v>
      </c>
      <c r="N31" s="38">
        <f t="shared" ca="1" si="11"/>
        <v>0</v>
      </c>
      <c r="O31" s="38">
        <f t="shared" ref="O31:O37" ca="1" si="12">IF(L31&gt;0,N31*100/L31,0)</f>
        <v>0</v>
      </c>
      <c r="P31" s="38">
        <f t="shared" si="9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ca="1" si="11"/>
        <v>27692718</v>
      </c>
      <c r="M32" s="38">
        <f t="shared" si="11"/>
        <v>0</v>
      </c>
      <c r="N32" s="38">
        <f t="shared" ca="1" si="11"/>
        <v>10570624.529999996</v>
      </c>
      <c r="O32" s="38">
        <f t="shared" ca="1" si="12"/>
        <v>38.171134122696067</v>
      </c>
      <c r="P32" s="38">
        <f t="shared" si="9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ca="1" si="11"/>
        <v>0</v>
      </c>
      <c r="M33" s="38">
        <f t="shared" si="11"/>
        <v>0</v>
      </c>
      <c r="N33" s="38">
        <f t="shared" ca="1" si="11"/>
        <v>0</v>
      </c>
      <c r="O33" s="38">
        <f t="shared" ca="1" si="12"/>
        <v>0</v>
      </c>
      <c r="P33" s="38">
        <f t="shared" si="9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ca="1" si="11"/>
        <v>27692718</v>
      </c>
      <c r="M34" s="38">
        <f t="shared" si="11"/>
        <v>0</v>
      </c>
      <c r="N34" s="38">
        <f t="shared" ca="1" si="11"/>
        <v>10570624.529999996</v>
      </c>
      <c r="O34" s="38">
        <f t="shared" ca="1" si="12"/>
        <v>38.171134122696067</v>
      </c>
      <c r="P34" s="38">
        <f t="shared" si="9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12"/>
        <v>0</v>
      </c>
      <c r="P35" s="41">
        <f t="shared" si="9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12"/>
        <v>0</v>
      </c>
      <c r="P36" s="49">
        <f t="shared" si="9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13">L41+L53+L66+L94+L118+L140+L220+L250+L271+L290+L310+L329</f>
        <v>66225780</v>
      </c>
      <c r="M37" s="54">
        <f t="shared" ca="1" si="13"/>
        <v>54258761.039999999</v>
      </c>
      <c r="N37" s="54">
        <f t="shared" ca="1" si="13"/>
        <v>36352078.409999996</v>
      </c>
      <c r="O37" s="55">
        <f t="shared" ca="1" si="12"/>
        <v>54.891129119204024</v>
      </c>
      <c r="P37" s="55">
        <f t="shared" ca="1" si="9"/>
        <v>66.997619763563989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ca="1">L42+L43</f>
        <v>16277300</v>
      </c>
      <c r="M41" s="78">
        <f ca="1">M42+M43</f>
        <v>13002115</v>
      </c>
      <c r="N41" s="78">
        <f ca="1">N42+N43</f>
        <v>8409642.6099999994</v>
      </c>
      <c r="O41" s="77">
        <f t="shared" ref="O41:O43" ca="1" si="14">IF(L41&gt;0,N41*100/L41,0)</f>
        <v>51.664849882965846</v>
      </c>
      <c r="P41" s="77">
        <f t="shared" ref="P41:P43" ca="1" si="15">IF(M41&gt;0,N41*100/M41,0)</f>
        <v>64.679035756874939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3" si="16">L44+L48</f>
        <v>0</v>
      </c>
      <c r="M42" s="78">
        <f t="shared" si="16"/>
        <v>0</v>
      </c>
      <c r="N42" s="78">
        <f t="shared" si="16"/>
        <v>0</v>
      </c>
      <c r="O42" s="77">
        <f t="shared" si="14"/>
        <v>0</v>
      </c>
      <c r="P42" s="77">
        <f t="shared" si="15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ca="1" si="16"/>
        <v>16277300</v>
      </c>
      <c r="M43" s="78">
        <f t="shared" ca="1" si="16"/>
        <v>13002115</v>
      </c>
      <c r="N43" s="78">
        <f t="shared" ca="1" si="16"/>
        <v>8409642.6099999994</v>
      </c>
      <c r="O43" s="77">
        <f t="shared" ca="1" si="14"/>
        <v>51.664849882965846</v>
      </c>
      <c r="P43" s="77">
        <f t="shared" ca="1" si="15"/>
        <v>64.679035756874939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f>กาญจนบุรี!L44+จันทบุรี!L44+ฉะเชิงเทรา!L44+ชลบุรี!L44+ชัยนาท!L44+ตราด!L44+นครนายก!L44+นครปฐม!L44+ปทุมธานี!L44+ประจวบคีรีขันธ์!L44+ปราจีนบุรี!L44+พระนครศรีอยุธยา!L44+เพชรบุรี!L44+ระยอง!L44+ราชบุรี!L44+ลพบุรี!L44+สระแก้ว!L44+สระบุรี!L44+สิงห์บุรี!L44+สุพรรณบุรี!L44+อ่างทอง!L44</f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ญจนบุรี!L45+จันทบุรี!L45+ฉะเชิงเทรา!L45+ชลบุรี!L45+ชัยนาท!L45+ตราด!L45+นครนายก!L45+นครปฐม!L45+ปทุมธานี!L45+ประจวบคีรีขันธ์!L45+ปราจีนบุรี!L45+พระนครศรีอยุธยา!L45+เพชรบุรี!L45+ระยอง!L45+ราชบุรี!L45+ลพบุรี!L45+สระแก้ว!L45+สระบุรี!L45+สิงห์บุรี!L45+สุพรรณบุรี!L45+อ่างทอง!L45</f>
        <v>13863700</v>
      </c>
      <c r="M45" s="49">
        <f ca="1">กาญจนบุรี!M45+จันทบุรี!M45+ฉะเชิงเทรา!M45+ชลบุรี!M45+ชัยนาท!M45+ตราด!M45+นครนายก!M45+นครปฐม!M45+ปทุมธานี!M45+ประจวบคีรีขันธ์!M45+ปราจีนบุรี!M45+พระนครศรีอยุธยา!M45+เพชรบุรี!M45+ระยอง!M45+ราชบุรี!M45+ลพบุรี!M45+สระแก้ว!M45+สระบุรี!M45+สิงห์บุรี!M45+สุพรรณบุรี!M45+อ่างทอง!M45</f>
        <v>10588515</v>
      </c>
      <c r="N45" s="49">
        <f ca="1">กาญจนบุรี!N45+จันทบุรี!N45+ฉะเชิงเทรา!N45+ชลบุรี!N45+ชัยนาท!N45+ตราด!N45+นครนายก!N45+นครปฐม!N45+ปทุมธานี!N45+ประจวบคีรีขันธ์!N45+ปราจีนบุรี!N45+พระนครศรีอยุธยา!N45+เพชรบุรี!N45+ระยอง!N45+ราชบุรี!N45+ลพบุรี!N45+สระแก้ว!N45+สระบุรี!N45+สิงห์บุรี!N45+สุพรรณบุรี!N45+อ่างทอง!N45</f>
        <v>7034042.6099999994</v>
      </c>
      <c r="O45" s="38">
        <f ca="1">IF(L45&gt;0,N45*100/L45,0)</f>
        <v>50.737123639432475</v>
      </c>
      <c r="P45" s="38">
        <f ca="1">IF(M45&gt;0,N45*100/M45,0)</f>
        <v>66.430869767856962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ญจนบุรี!L46+จันทบุรี!L46+ฉะเชิงเทรา!L46+ชลบุรี!L46+ชัยนาท!L46+ตราด!L46+นครนายก!L46+นครปฐม!L46+ปทุมธานี!L46+ประจวบคีรีขันธ์!L46+ปราจีนบุรี!L46+พระนครศรีอยุธยา!L46+เพชรบุรี!L46+ระยอง!L46+ราชบุรี!L46+ลพบุรี!L46+สระแก้ว!L46+สระบุรี!L46+สิงห์บุรี!L46+สุพรรณบุรี!L46+อ่างทอง!L46</f>
        <v>13863700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ญจนบุรี!L47+จันทบุรี!L47+ฉะเชิงเทรา!L47+ชลบุรี!L47+ชัยนาท!L47+ตราด!L47+นครนายก!L47+นครปฐม!L47+ปทุมธานี!L47+ประจวบคีรีขันธ์!L47+ปราจีนบุรี!L47+พระนครศรีอยุธยา!L47+เพชรบุรี!L47+ระยอง!L47+ราชบุรี!L47+ลพบุรี!L47+สระแก้ว!L47+สระบุรี!L47+สิงห์บุรี!L47+สุพรรณบุรี!L47+อ่างทอง!L47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f>กาญจนบุรี!L48+จันทบุรี!L48+ฉะเชิงเทรา!L48+ชลบุรี!L48+ชัยนาท!L48+ตราด!L48+นครนายก!L48+นครปฐม!L48+ปทุมธานี!L48+ประจวบคีรีขันธ์!L48+ปราจีนบุรี!L48+พระนครศรีอยุธยา!L48+เพชรบุรี!L48+ระยอง!L48+ราชบุรี!L48+ลพบุรี!L48+สระแก้ว!L48+สระบุรี!L48+สิงห์บุรี!L48+สุพรรณบุรี!L48+อ่างทอง!L48</f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ญจนบุรี!L49+จันทบุรี!L49+ฉะเชิงเทรา!L49+ชลบุรี!L49+ชัยนาท!L49+ตราด!L49+นครนายก!L49+นครปฐม!L49+ปทุมธานี!L49+ประจวบคีรีขันธ์!L49+ปราจีนบุรี!L49+พระนครศรีอยุธยา!L49+เพชรบุรี!L49+ระยอง!L49+ราชบุรี!L49+ลพบุรี!L49+สระแก้ว!L49+สระบุรี!L49+สิงห์บุรี!L49+สุพรรณบุรี!L49+อ่างทอง!L49</f>
        <v>2413600</v>
      </c>
      <c r="M49" s="49">
        <f ca="1">กาญจนบุรี!M49+จันทบุรี!M49+ฉะเชิงเทรา!M49+ชลบุรี!M49+ชัยนาท!M49+ตราด!M49+นครนายก!M49+นครปฐม!M49+ปทุมธานี!M49+ประจวบคีรีขันธ์!M49+ปราจีนบุรี!M49+พระนครศรีอยุธยา!M49+เพชรบุรี!M49+ระยอง!M49+ราชบุรี!M49+ลพบุรี!M49+สระแก้ว!M49+สระบุรี!M49+สิงห์บุรี!M49+สุพรรณบุรี!M49+อ่างทอง!M49</f>
        <v>2413600</v>
      </c>
      <c r="N49" s="49">
        <f ca="1">กาญจนบุรี!N49+จันทบุรี!N49+ฉะเชิงเทรา!N49+ชลบุรี!N49+ชัยนาท!N49+ตราด!N49+นครนายก!N49+นครปฐม!N49+ปทุมธานี!N49+ประจวบคีรีขันธ์!N49+ปราจีนบุรี!N49+พระนครศรีอยุธยา!N49+เพชรบุรี!N49+ระยอง!N49+ราชบุรี!N49+ลพบุรี!N49+สระแก้ว!N49+สระบุรี!N49+สิงห์บุรี!N49+สุพรรณบุรี!N49+อ่างทอง!N49</f>
        <v>1375600</v>
      </c>
      <c r="O49" s="49">
        <f ca="1">IF(L49&gt;0,N49*100/L49,0)</f>
        <v>56.993702353331123</v>
      </c>
      <c r="P49" s="49">
        <f ca="1">IF(M49&gt;0,N49*100/M49,0)</f>
        <v>56.993702353331123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17">L54+L55</f>
        <v>8065800</v>
      </c>
      <c r="M53" s="121">
        <f t="shared" ca="1" si="17"/>
        <v>6554761.0399999991</v>
      </c>
      <c r="N53" s="121">
        <f t="shared" ca="1" si="17"/>
        <v>4429959.26</v>
      </c>
      <c r="O53" s="120">
        <f t="shared" ref="O53:O55" ca="1" si="18">IF(L53&gt;0,N53*100/L53,0)</f>
        <v>54.922751122021374</v>
      </c>
      <c r="P53" s="120">
        <f t="shared" ref="P53:P55" ca="1" si="19">IF(M53&gt;0,N53*100/M53,0)</f>
        <v>67.583840707029054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20">L56+L60</f>
        <v>0</v>
      </c>
      <c r="M54" s="121">
        <f t="shared" si="20"/>
        <v>0</v>
      </c>
      <c r="N54" s="121">
        <f t="shared" si="20"/>
        <v>0</v>
      </c>
      <c r="O54" s="120">
        <f t="shared" si="18"/>
        <v>0</v>
      </c>
      <c r="P54" s="120">
        <f t="shared" si="19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21">L57+L61</f>
        <v>8065800</v>
      </c>
      <c r="M55" s="121">
        <f t="shared" ca="1" si="21"/>
        <v>6554761.0399999991</v>
      </c>
      <c r="N55" s="121">
        <f t="shared" ca="1" si="21"/>
        <v>4429959.26</v>
      </c>
      <c r="O55" s="120">
        <f t="shared" ca="1" si="18"/>
        <v>54.922751122021374</v>
      </c>
      <c r="P55" s="120">
        <f t="shared" ca="1" si="19"/>
        <v>67.583840707029054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f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ญจนบุรี!L57+จันทบุรี!L57+ฉะเชิงเทรา!L57+ชลบุรี!L57+ชัยนาท!L57+ตราด!L57+นครนายก!L57+นครปฐม!L57+ปทุมธานี!L57+ประจวบคีรีขันธ์!L57+ปราจีนบุรี!L57+พระนครศรีอยุธยา!L57+เพชรบุรี!L57+ระยอง!L57+ราชบุรี!L57+ลพบุรี!L57+สระแก้ว!L57+สระบุรี!L57+สิงห์บุรี!L57+สุพรรณบุรี!L57+อ่างทอง!L57</f>
        <v>8065800</v>
      </c>
      <c r="M57" s="49">
        <f ca="1">กาญจนบุรี!M57+จันทบุรี!M57+ฉะเชิงเทรา!M57+ชลบุรี!M57+ชัยนาท!M57+ตราด!M57+นครนายก!M57+นครปฐม!M57+ปทุมธานี!M57+ประจวบคีรีขันธ์!M57+ปราจีนบุรี!M57+พระนครศรีอยุธยา!M57+เพชรบุรี!M57+ระยอง!M57+ราชบุรี!M57+ลพบุรี!M57+สระแก้ว!M57+สระบุรี!M57+สิงห์บุรี!M57+สุพรรณบุรี!M57+อ่างทอง!M57</f>
        <v>6554761.0399999991</v>
      </c>
      <c r="N57" s="49">
        <f ca="1">กาญจนบุรี!N57+จันทบุรี!N57+ฉะเชิงเทรา!N57+ชลบุรี!N57+ชัยนาท!N57+ตราด!N57+นครนายก!N57+นครปฐม!N57+ปทุมธานี!N57+ประจวบคีรีขันธ์!N57+ปราจีนบุรี!N57+พระนครศรีอยุธยา!N57+เพชรบุรี!N57+ระยอง!N57+ราชบุรี!N57+ลพบุรี!N57+สระแก้ว!N57+สระบุรี!N57+สิงห์บุรี!N57+สุพรรณบุรี!N57+อ่างทอง!N57</f>
        <v>4429959.26</v>
      </c>
      <c r="O57" s="38">
        <f ca="1">IF(L57&gt;0,N57*100/L57,0)</f>
        <v>54.922751122021374</v>
      </c>
      <c r="P57" s="38">
        <f ca="1">IF(M57&gt;0,N57*100/M57,0)</f>
        <v>67.583840707029054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ญจนบุรี!L58+จันทบุรี!L58+ฉะเชิงเทรา!L58+ชลบุรี!L58+ชัยนาท!L58+ตราด!L58+นครนายก!L58+นครปฐม!L58+ปทุมธานี!L58+ประจวบคีรีขันธ์!L58+ปราจีนบุรี!L58+พระนครศรีอยุธยา!L58+เพชรบุรี!L58+ระยอง!L58+ราชบุรี!L58+ลพบุรี!L58+สระแก้ว!L58+สระบุรี!L58+สิงห์บุรี!L58+สุพรรณบุรี!L58+อ่างทอง!L58</f>
        <v>8065800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ญจนบุรี!L59+จันทบุรี!L59+ฉะเชิงเทรา!L59+ชลบุรี!L59+ชัยนาท!L59+ตราด!L59+นครนายก!L59+นครปฐม!L59+ปทุมธานี!L59+ประจวบคีรีขันธ์!L59+ปราจีนบุรี!L59+พระนครศรีอยุธยา!L59+เพชรบุรี!L59+ระยอง!L59+ราชบุรี!L59+ลพบุรี!L59+สระแก้ว!L59+สระบุรี!L59+สิงห์บุรี!L59+สุพรรณบุรี!L59+อ่างทอง!L59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f>กาญจนบุรี!L60+จันทบุรี!L60+ฉะเชิงเทรา!L60+ชลบุรี!L60+ชัยนาท!L60+ตราด!L60+นครนายก!L60+นครปฐม!L60+ปทุมธานี!L60+ประจวบคีรีขันธ์!L60+ปราจีนบุรี!L60+พระนครศรีอยุธยา!L60+เพชรบุรี!L60+ระยอง!L60+ราชบุรี!L60+ลพบุรี!L60+สระแก้ว!L60+สระบุรี!L60+สิงห์บุรี!L60+สุพรรณบุรี!L60+อ่างทอง!L60</f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ญจนบุรี!L61+จันทบุรี!L61+ฉะเชิงเทรา!L61+ชลบุรี!L61+ชัยนาท!L61+ตราด!L61+นครนายก!L61+นครปฐม!L61+ปทุมธานี!L61+ประจวบคีรีขันธ์!L61+ปราจีนบุรี!L61+พระนครศรีอยุธยา!L61+เพชรบุรี!L61+ระยอง!L61+ราชบุรี!L61+ลพบุรี!L61+สระแก้ว!L61+สระบุรี!L61+สิงห์บุรี!L61+สุพรรณบุรี!L61+อ่างทอง!L61</f>
        <v>0</v>
      </c>
      <c r="M61" s="49"/>
      <c r="N61" s="49">
        <f ca="1">กาญจนบุรี!N61+จันทบุรี!N61+ฉะเชิงเทรา!N61+ชลบุรี!N61+ชัยนาท!N61+ตราด!N61+นครนายก!N61+นครปฐม!N61+ปทุมธานี!N61+ประจวบคีรีขันธ์!N61+ปราจีนบุรี!N61+พระนครศรีอยุธยา!N61+เพชรบุรี!N61+ระยอง!N61+ราชบุรี!N61+ลพบุรี!N61+สระแก้ว!N61+สระบุรี!N61+สิงห์บุรี!N61+สุพรรณบุรี!N61+อ่างทอง!N61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ญจนบุรี!I64+จันทบุรี!I64+ฉะเชิงเทรา!I64+ชลบุรี!I64+ชัยนาท!I64+ตราด!I64+นครนายก!I64+นครปฐม!I64+ปทุมธานี!I64+ประจวบคีรีขันธ์!I64+ปราจีนบุรี!I64+พระนครศรีอยุธยา!I64+เพชรบุรี!I64+ระยอง!I64+ราชบุรี!I64+ลพบุรี!I64+สระแก้ว!I64+สระบุรี!I64+สิงห์บุรี!I64+สุพรรณบุรี!I64+อ่างทอง!I64</f>
        <v>8</v>
      </c>
      <c r="J64" s="142">
        <f ca="1"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8</v>
      </c>
      <c r="K64" s="143">
        <f t="shared" ref="K64:K65" ca="1" si="22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ญจนบุรี!I65+จันทบุรี!I65+ฉะเชิงเทรา!I65+ชลบุรี!I65+ชัยนาท!I65+ตราด!I65+นครนายก!I65+นครปฐม!I65+ปทุมธานี!I65+ประจวบคีรีขันธ์!I65+ปราจีนบุรี!I65+พระนครศรีอยุธยา!I65+เพชรบุรี!I65+ระยอง!I65+ราชบุรี!I65+ลพบุรี!I65+สระแก้ว!I65+สระบุรี!I65+สิงห์บุรี!I65+สุพรรณบุรี!I65+อ่างทอง!I65</f>
        <v>440</v>
      </c>
      <c r="J65" s="142">
        <f ca="1"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440</v>
      </c>
      <c r="K65" s="143">
        <f t="shared" ca="1" si="22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ca="1">กาญจนบุรี!L66+จันทบุรี!L66+ฉะเชิงเทรา!L66+ชลบุรี!L66+ชัยนาท!L66+ตราด!L66+นครนายก!L66+นครปฐม!L66+ปทุมธานี!L66+ประจวบคีรีขันธ์!L66+ปราจีนบุรี!L66+พระนครศรีอยุธยา!L66+เพชรบุรี!L66+ระยอง!L66+ราชบุรี!L66+ลพบุรี!L66+สระแก้ว!L66+สระบุรี!L66+สิงห์บุรี!L66+สุพรรณบุรี!L66+อ่างทอง!L66</f>
        <v>11529200</v>
      </c>
      <c r="M66" s="152">
        <f ca="1">กาญจนบุรี!M66+จันทบุรี!M66+ฉะเชิงเทรา!M66+ชลบุรี!M66+ชัยนาท!M66+ตราด!M66+นครนายก!M66+นครปฐม!M66+ปทุมธานี!M66+ประจวบคีรีขันธ์!M66+ปราจีนบุรี!M66+พระนครศรีอยุธยา!M66+เพชรบุรี!M66+ระยอง!M66+ราชบุรี!M66+ลพบุรี!M66+สระแก้ว!M66+สระบุรี!M66+สิงห์บุรี!M66+สุพรรณบุรี!M66+อ่างทอง!M66</f>
        <v>10723180</v>
      </c>
      <c r="N66" s="152">
        <f ca="1">กาญจนบุรี!N66+จันทบุรี!N66+ฉะเชิงเทรา!N66+ชลบุรี!N66+ชัยนาท!N66+ตราด!N66+นครนายก!N66+นครปฐม!N66+ปทุมธานี!N66+ประจวบคีรีขันธ์!N66+ปราจีนบุรี!N66+พระนครศรีอยุธยา!N66+เพชรบุรี!N66+ระยอง!N66+ราชบุรี!N66+ลพบุรี!N66+สระแก้ว!N66+สระบุรี!N66+สิงห์บุรี!N66+สุพรรณบุรี!N66+อ่างทอง!N66</f>
        <v>8153060.4700000007</v>
      </c>
      <c r="O66" s="151">
        <f t="shared" ref="O66:O68" ca="1" si="23">IF(L66&gt;0,N66*100/L66,0)</f>
        <v>70.716619279741877</v>
      </c>
      <c r="P66" s="151">
        <f t="shared" ref="P66:P68" ca="1" si="24">IF(M66&gt;0,N66*100/M66,0)</f>
        <v>76.032114260881585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ญจนบุรี!L67+จันทบุรี!L67+ฉะเชิงเทรา!L67+ชลบุรี!L67+ชัยนาท!L67+ตราด!L67+นครนายก!L67+นครปฐม!L67+ปทุมธานี!L67+ประจวบคีรีขันธ์!L67+ปราจีนบุรี!L67+พระนครศรีอยุธยา!L67+เพชรบุรี!L67+ระยอง!L67+ราชบุรี!L67+ลพบุรี!L67+สระแก้ว!L67+สระบุรี!L67+สิงห์บุรี!L67+สุพรรณบุรี!L67+อ่างทอง!L67</f>
        <v>0</v>
      </c>
      <c r="M67" s="157">
        <f>กาญจนบุรี!M67+จันทบุรี!M67+ฉะเชิงเทรา!M67+ชลบุรี!M67+ชัยนาท!M67+ตราด!M67+นครนายก!M67+นครปฐม!M67+ปทุมธานี!M67+ประจวบคีรีขันธ์!M67+ปราจีนบุรี!M67+พระนครศรีอยุธยา!M67+เพชรบุรี!M67+ระยอง!M67+ราชบุรี!M67+ลพบุรี!M67+สระแก้ว!M67+สระบุรี!M67+สิงห์บุรี!M67+สุพรรณบุรี!M67+อ่างทอง!M67</f>
        <v>0</v>
      </c>
      <c r="N67" s="157">
        <f>กาญจนบุรี!N67+จันทบุรี!N67+ฉะเชิงเทรา!N67+ชลบุรี!N67+ชัยนาท!N67+ตราด!N67+นครนายก!N67+นครปฐม!N67+ปทุมธานี!N67+ประจวบคีรีขันธ์!N67+ปราจีนบุรี!N67+พระนครศรีอยุธยา!N67+เพชรบุรี!N67+ระยอง!N67+ราชบุรี!N67+ลพบุรี!N67+สระแก้ว!N67+สระบุรี!N67+สิงห์บุรี!N67+สุพรรณบุรี!N67+อ่างทอง!N67</f>
        <v>0</v>
      </c>
      <c r="O67" s="156">
        <f t="shared" si="23"/>
        <v>0</v>
      </c>
      <c r="P67" s="156">
        <f t="shared" si="24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11529200</v>
      </c>
      <c r="M68" s="157">
        <f ca="1"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10723180</v>
      </c>
      <c r="N68" s="157">
        <f ca="1">กาญจนบุรี!N68+จันทบุรี!N68+ฉะเชิงเทรา!N68+ชลบุรี!N68+ชัยนาท!N68+ตราด!N68+นครนายก!N68+นครปฐม!N68+ปทุมธานี!N68+ประจวบคีรีขันธ์!N68+ปราจีนบุรี!N68+พระนครศรีอยุธยา!N68+เพชรบุรี!N68+ระยอง!N68+ราชบุรี!N68+ลพบุรี!N68+สระแก้ว!N68+สระบุรี!N68+สิงห์บุรี!N68+สุพรรณบุรี!N68+อ่างทอง!N68</f>
        <v>8153060.4700000007</v>
      </c>
      <c r="O68" s="156">
        <f t="shared" ca="1" si="23"/>
        <v>70.716619279741877</v>
      </c>
      <c r="P68" s="156">
        <f t="shared" ca="1" si="24"/>
        <v>76.032114260881585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ญจนบุรี!L69+จันทบุรี!L69+ฉะเชิงเทรา!L69+ชลบุรี!L69+ชัยนาท!L69+ตราด!L69+นครนายก!L69+นครปฐม!L69+ปทุมธานี!L69+ประจวบคีรีขันธ์!L69+ปราจีนบุรี!L69+พระนครศรีอยุธยา!L69+เพชรบุรี!L69+ระยอง!L69+ราชบุรี!L69+ลพบุรี!L69+สระแก้ว!L69+สระบุรี!L69+สิงห์บุรี!L69+สุพรรณบุรี!L69+อ่างทอง!L69</f>
        <v>0</v>
      </c>
      <c r="M69" s="164">
        <f>กาญจนบุรี!M69+จันทบุรี!M69+ฉะเชิงเทรา!M69+ชลบุรี!M69+ชัยนาท!M69+ตราด!M69+นครนายก!M69+นครปฐม!M69+ปทุมธานี!M69+ประจวบคีรีขันธ์!M69+ปราจีนบุรี!M69+พระนครศรีอยุธยา!M69+เพชรบุรี!M69+ระยอง!M69+ราชบุรี!M69+ลพบุรี!M69+สระแก้ว!M69+สระบุรี!M69+สิงห์บุรี!M69+สุพรรณบุรี!M69+อ่างทอง!M69</f>
        <v>0</v>
      </c>
      <c r="N69" s="164">
        <f>กาญจนบุรี!N69+จันทบุรี!N69+ฉะเชิงเทรา!N69+ชลบุรี!N69+ชัยนาท!N69+ตราด!N69+นครนายก!N69+นครปฐม!N69+ปทุมธานี!N69+ประจวบคีรีขันธ์!N69+ปราจีนบุรี!N69+พระนครศรีอยุธยา!N69+เพชรบุรี!N69+ระยอง!N69+ราชบุรี!N69+ลพบุรี!N69+สระแก้ว!N69+สระบุรี!N69+สิงห์บุรี!N69+สุพรรณบุรี!N69+อ่างทอง!N69</f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5268100</v>
      </c>
      <c r="M70" s="168">
        <f ca="1"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4462080</v>
      </c>
      <c r="N70" s="169">
        <f ca="1">กาญจนบุรี!N70+จันทบุรี!N70+ฉะเชิงเทรา!N70+ชลบุรี!N70+ชัยนาท!N70+ตราด!N70+นครนายก!N70+นครปฐม!N70+ปทุมธานี!N70+ประจวบคีรีขันธ์!N70+ปราจีนบุรี!N70+พระนครศรีอยุธยา!N70+เพชรบุรี!N70+ระยอง!N70+ราชบุรี!N70+ลพบุรี!N70+สระแก้ว!N70+สระบุรี!N70+สิงห์บุรี!N70+สุพรรณบุรี!N70+อ่างทอง!N70</f>
        <v>2691960.47</v>
      </c>
      <c r="O70" s="169">
        <f ca="1">IF(L70&gt;0,N70*100/L70,0)</f>
        <v>51.099266718551277</v>
      </c>
      <c r="P70" s="169">
        <f ca="1">IF(M70&gt;0,N70*100/M70,0)</f>
        <v>60.32972223716294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1378100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3890000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f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6261100</v>
      </c>
      <c r="M74" s="49">
        <f ca="1"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6261100</v>
      </c>
      <c r="N74" s="49">
        <f ca="1">กาญจนบุรี!N74+จันทบุรี!N74+ฉะเชิงเทรา!N74+ชลบุรี!N74+ชัยนาท!N74+ตราด!N74+นครนายก!N74+นครปฐม!N74+ปทุมธานี!N74+ประจวบคีรีขันธ์!N74+ปราจีนบุรี!N74+พระนครศรีอยุธยา!N74+เพชรบุรี!N74+ระยอง!N74+ราชบุรี!N74+ลพบุรี!N74+สระแก้ว!N74+สระบุรี!N74+สิงห์บุรี!N74+สุพรรณบุรี!N74+อ่างทอง!N74</f>
        <v>5461100</v>
      </c>
      <c r="O74" s="49">
        <f ca="1">IF(L74&gt;0,N74*100/L74,0)</f>
        <v>87.222692498123337</v>
      </c>
      <c r="P74" s="49">
        <f ca="1">IF(M74&gt;0,N74*100/M74,0)</f>
        <v>87.222692498123337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ญจนบุรี!J76+จันทบุรี!J76+ฉะเชิงเทรา!J76+ชลบุรี!J76+ชัยนาท!J76+ตราด!J76+นครนายก!J76+นครปฐม!J76+ปทุมธานี!J76+ประจวบคีรีขันธ์!J76+ปราจีนบุรี!J76+พระนครศรีอยุธยา!J76+เพชรบุรี!J76+ระยอง!J76+ราชบุรี!J76+ลพบุรี!J76+สระแก้ว!J76+สระบุรี!J76+สิงห์บุรี!J76+สุพรรณบุรี!J76+อ่างทอง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ญจนบุรี!J77+จันทบุรี!J77+ฉะเชิงเทรา!J77+ชลบุรี!J77+ชัยนาท!J77+ตราด!J77+นครนายก!J77+นครปฐม!J77+ปทุมธานี!J77+ประจวบคีรีขันธ์!J77+ปราจีนบุรี!J77+พระนครศรีอยุธยา!J77+เพชรบุรี!J77+ระยอง!J77+ราชบุรี!J77+ลพบุรี!J77+สระแก้ว!J77+สระบุรี!J77+สิงห์บุรี!J77+สุพรรณบุรี!J77+อ่างทอง!J77</f>
        <v>6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ญจนบุรี!J78+จันทบุรี!J78+ฉะเชิงเทรา!J78+ชลบุรี!J78+ชัยนาท!J78+ตราด!J78+นครนายก!J78+นครปฐม!J78+ปทุมธานี!J78+ประจวบคีรีขันธ์!J78+ปราจีนบุรี!J78+พระนครศรีอยุธยา!J78+เพชรบุรี!J78+ระยอง!J78+ราชบุรี!J78+ลพบุรี!J78+สระแก้ว!J78+สระบุรี!J78+สิงห์บุรี!J78+สุพรรณบุรี!J78+อ่างทอง!J78</f>
        <v>6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6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ญจนบุรี!I80+จันทบุรี!I80+ฉะเชิงเทรา!I80+ชลบุรี!I80+ชัยนาท!I80+ตราด!I80+นครนายก!I80+นครปฐม!I80+ปทุมธานี!I80+ประจวบคีรีขันธ์!I80+ปราจีนบุรี!I80+พระนครศรีอยุธยา!I80+เพชรบุรี!I80+ระยอง!I80+ราชบุรี!I80+ลพบุรี!I80+สระแก้ว!I80+สระบุรี!I80+สิงห์บุรี!I80+สุพรรณบุรี!I80+อ่างทอง!I80</f>
        <v>8</v>
      </c>
      <c r="J80" s="201">
        <f ca="1"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8</v>
      </c>
      <c r="K80" s="202">
        <f t="shared" ref="K80:K88" ca="1" si="25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ญจนบุรี!I81+จันทบุรี!I81+ฉะเชิงเทรา!I81+ชลบุรี!I81+ชัยนาท!I81+ตราด!I81+นครนายก!I81+นครปฐม!I81+ปทุมธานี!I81+ประจวบคีรีขันธ์!I81+ปราจีนบุรี!I81+พระนครศรีอยุธยา!I81+เพชรบุรี!I81+ระยอง!I81+ราชบุรี!I81+ลพบุรี!I81+สระแก้ว!I81+สระบุรี!I81+สิงห์บุรี!I81+สุพรรณบุรี!I81+อ่างทอง!I81</f>
        <v>440</v>
      </c>
      <c r="J81" s="201">
        <f ca="1"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440</v>
      </c>
      <c r="K81" s="202">
        <f t="shared" ca="1" si="25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ญจนบุรี!I82+จันทบุรี!I82+ฉะเชิงเทรา!I82+ชลบุรี!I82+ชัยนาท!I82+ตราด!I82+นครนายก!I82+นครปฐม!I82+ปทุมธานี!I82+ประจวบคีรีขันธ์!I82+ปราจีนบุรี!I82+พระนครศรีอยุธยา!I82+เพชรบุรี!I82+ระยอง!I82+ราชบุรี!I82+ลพบุรี!I82+สระแก้ว!I82+สระบุรี!I82+สิงห์บุรี!I82+สุพรรณบุรี!I82+อ่างทอง!I82</f>
        <v>2</v>
      </c>
      <c r="J82" s="204">
        <f ca="1"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2</v>
      </c>
      <c r="K82" s="163">
        <f t="shared" ca="1" si="25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150</v>
      </c>
      <c r="J83" s="204">
        <f ca="1"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150</v>
      </c>
      <c r="K83" s="163">
        <f t="shared" ca="1" si="25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ญจนบุรี!I84+จันทบุรี!I84+ฉะเชิงเทรา!I84+ชลบุรี!I84+ชัยนาท!I84+ตราด!I84+นครนายก!I84+นครปฐม!I84+ปทุมธานี!I84+ประจวบคีรีขันธ์!I84+ปราจีนบุรี!I84+พระนครศรีอยุธยา!I84+เพชรบุรี!I84+ระยอง!I84+ราชบุรี!I84+ลพบุรี!I84+สระแก้ว!I84+สระบุรี!I84+สิงห์บุรี!I84+สุพรรณบุรี!I84+อ่างทอง!I84</f>
        <v>2</v>
      </c>
      <c r="J84" s="189">
        <f ca="1">กาญจนบุรี!J84+จันทบุรี!J84+ฉะเชิงเทรา!J84+ชลบุรี!J84+ชัยนาท!J84+ตราด!J84+นครนายก!J84+นครปฐม!J84+ปทุมธานี!J84+ประจวบคีรีขันธ์!J84+ปราจีนบุรี!J84+พระนครศรีอยุธยา!J84+เพชรบุรี!J84+ระยอง!J84+ราชบุรี!J84+ลพบุรี!J84+สระแก้ว!J84+สระบุรี!J84+สิงห์บุรี!J84+สุพรรณบุรี!J84+อ่างทอง!J84</f>
        <v>2</v>
      </c>
      <c r="K84" s="163">
        <f t="shared" ca="1" si="25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ญจนบุรี!I85+จันทบุรี!I85+ฉะเชิงเทรา!I85+ชลบุรี!I85+ชัยนาท!I85+ตราด!I85+นครนายก!I85+นครปฐม!I85+ปทุมธานี!I85+ประจวบคีรีขันธ์!I85+ปราจีนบุรี!I85+พระนครศรีอยุธยา!I85+เพชรบุรี!I85+ระยอง!I85+ราชบุรี!I85+ลพบุรี!I85+สระแก้ว!I85+สระบุรี!I85+สิงห์บุรี!I85+สุพรรณบุรี!I85+อ่างทอง!I85</f>
        <v>130</v>
      </c>
      <c r="J85" s="189">
        <f ca="1"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130</v>
      </c>
      <c r="K85" s="163">
        <f t="shared" ca="1" si="25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ญจนบุรี!I86+จันทบุรี!I86+ฉะเชิงเทรา!I86+ชลบุรี!I86+ชัยนาท!I86+ตราด!I86+นครนายก!I86+นครปฐม!I86+ปทุมธานี!I86+ประจวบคีรีขันธ์!I86+ปราจีนบุรี!I86+พระนครศรีอยุธยา!I86+เพชรบุรี!I86+ระยอง!I86+ราชบุรี!I86+ลพบุรี!I86+สระแก้ว!I86+สระบุรี!I86+สิงห์บุรี!I86+สุพรรณบุรี!I86+อ่างทอง!I86</f>
        <v>4</v>
      </c>
      <c r="J86" s="204">
        <f ca="1"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4</v>
      </c>
      <c r="K86" s="163">
        <f t="shared" ca="1" si="25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ญจนบุรี!I87+จันทบุรี!I87+ฉะเชิงเทรา!I87+ชลบุรี!I87+ชัยนาท!I87+ตราด!I87+นครนายก!I87+นครปฐม!I87+ปทุมธานี!I87+ประจวบคีรีขันธ์!I87+ปราจีนบุรี!I87+พระนครศรีอยุธยา!I87+เพชรบุรี!I87+ระยอง!I87+ราชบุรี!I87+ลพบุรี!I87+สระแก้ว!I87+สระบุรี!I87+สิงห์บุรี!I87+สุพรรณบุรี!I87+อ่างทอง!I87</f>
        <v>160</v>
      </c>
      <c r="J87" s="204">
        <f ca="1"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160</v>
      </c>
      <c r="K87" s="163">
        <f t="shared" ca="1" si="25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กาญจนบุรี!I88+จันทบุรี!I88+ฉะเชิงเทรา!I88+ชลบุรี!I88+ชัยนาท!I88+ตราด!I88+นครนายก!I88+นครปฐม!I88+ปทุมธานี!I88+ประจวบคีรีขันธ์!I88+ปราจีนบุรี!I88+พระนครศรีอยุธยา!I88+เพชรบุรี!I88+ระยอง!I88+ราชบุรี!I88+ลพบุรี!I88+สระแก้ว!I88+สระบุรี!I88+สิงห์บุรี!I88+สุพรรณบุรี!I88+อ่างทอง!I88</f>
        <v>150</v>
      </c>
      <c r="J88" s="204">
        <f ca="1"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0</v>
      </c>
      <c r="K88" s="163">
        <f t="shared" ca="1" si="25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กาญจนบุรี!J90+จันทบุรี!J90+ฉะเชิงเทรา!J90+ชลบุรี!J90+ชัยนาท!J90+ตราด!J90+นครนายก!J90+นครปฐม!J90+ปทุมธานี!J90+ประจวบคีรีขันธ์!J90+ปราจีนบุรี!J90+พระนครศรีอยุธยา!J90+เพชรบุรี!J90+ระยอง!J90+ราชบุรี!J90+ลพบุรี!J90+สระแก้ว!J90+สระบุรี!J90+สิงห์บุรี!J90+สุพรรณบุรี!J90+อ่างทอง!J90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กาญจนบุรี!I92+จันทบุรี!I92+ฉะเชิงเทรา!I92+ชลบุรี!I92+ชัยนาท!I92+ตราด!I92+นครนายก!I92+นครปฐม!I92+ปทุมธานี!I92+ประจวบคีรีขันธ์!I92+ปราจีนบุรี!I92+พระนครศรีอยุธยา!I92+เพชรบุรี!I92+ระยอง!I92+ราชบุรี!I92+ลพบุรี!I92+สระแก้ว!I92+สระบุรี!I92+สิงห์บุรี!I92+สุพรรณบุรี!I92+อ่างทอง!I92</f>
        <v>29</v>
      </c>
      <c r="J92" s="142">
        <f ca="1">กาญจนบุรี!J92+จันทบุรี!J92+ฉะเชิงเทรา!J92+ชลบุรี!J92+ชัยนาท!J92+ตราด!J92+นครนายก!J92+นครปฐม!J92+ปทุมธานี!J92+ประจวบคีรีขันธ์!J92+ปราจีนบุรี!J92+พระนครศรีอยุธยา!J92+เพชรบุรี!J92+ระยอง!J92+ราชบุรี!J92+ลพบุรี!J92+สระแก้ว!J92+สระบุรี!J92+สิงห์บุรี!J92+สุพรรณบุรี!J92+อ่างทอง!J92</f>
        <v>18</v>
      </c>
      <c r="K92" s="143">
        <f t="shared" ref="K92:K93" ca="1" si="26">IF(I92&gt;0,J92*100/I92,0)</f>
        <v>62.068965517241381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กาญจนบุรี!I93+จันทบุรี!I93+ฉะเชิงเทรา!I93+ชลบุรี!I93+ชัยนาท!I93+ตราด!I93+นครนายก!I93+นครปฐม!I93+ปทุมธานี!I93+ประจวบคีรีขันธ์!I93+ปราจีนบุรี!I93+พระนครศรีอยุธยา!I93+เพชรบุรี!I93+ระยอง!I93+ราชบุรี!I93+ลพบุรี!I93+สระแก้ว!I93+สระบุรี!I93+สิงห์บุรี!I93+สุพรรณบุรี!I93+อ่างทอง!I93</f>
        <v>8</v>
      </c>
      <c r="J93" s="142">
        <f ca="1">กาญจนบุรี!J93+จันทบุรี!J93+ฉะเชิงเทรา!J93+ชลบุรี!J93+ชัยนาท!J93+ตราด!J93+นครนายก!J93+นครปฐม!J93+ปทุมธานี!J93+ประจวบคีรีขันธ์!J93+ปราจีนบุรี!J93+พระนครศรีอยุธยา!J93+เพชรบุรี!J93+ระยอง!J93+ราชบุรี!J93+ลพบุรี!J93+สระแก้ว!J93+สระบุรี!J93+สิงห์บุรี!J93+สุพรรณบุรี!J93+อ่างทอง!J93</f>
        <v>3</v>
      </c>
      <c r="K93" s="143">
        <f t="shared" ca="1" si="26"/>
        <v>37.5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ca="1">กาญจนบุรี!L94+จันทบุรี!L94+ฉะเชิงเทรา!L94+ชลบุรี!L94+ชัยนาท!L94+ตราด!L94+นครนายก!L94+นครปฐม!L94+ปทุมธานี!L94+ประจวบคีรีขันธ์!L94+ปราจีนบุรี!L94+พระนครศรีอยุธยา!L94+เพชรบุรี!L94+ระยอง!L94+ราชบุรี!L94+ลพบุรี!L94+สระแก้ว!L94+สระบุรี!L94+สิงห์บุรี!L94+สุพรรณบุรี!L94+อ่างทอง!L94</f>
        <v>1493740</v>
      </c>
      <c r="M94" s="152">
        <f ca="1">กาญจนบุรี!M94+จันทบุรี!M94+ฉะเชิงเทรา!M94+ชลบุรี!M94+ชัยนาท!M94+ตราด!M94+นครนายก!M94+นครปฐม!M94+ปทุมธานี!M94+ประจวบคีรีขันธ์!M94+ปราจีนบุรี!M94+พระนครศรีอยุธยา!M94+เพชรบุรี!M94+ระยอง!M94+ราชบุรี!M94+ลพบุรี!M94+สระแก้ว!M94+สระบุรี!M94+สิงห์บุรี!M94+สุพรรณบุรี!M94+อ่างทอง!M94</f>
        <v>1493740</v>
      </c>
      <c r="N94" s="152">
        <f ca="1">กาญจนบุรี!N94+จันทบุรี!N94+ฉะเชิงเทรา!N94+ชลบุรี!N94+ชัยนาท!N94+ตราด!N94+นครนายก!N94+นครปฐม!N94+ปทุมธานี!N94+ประจวบคีรีขันธ์!N94+ปราจีนบุรี!N94+พระนครศรีอยุธยา!N94+เพชรบุรี!N94+ระยอง!N94+ราชบุรี!N94+ลพบุรี!N94+สระแก้ว!N94+สระบุรี!N94+สิงห์บุรี!N94+สุพรรณบุรี!N94+อ่างทอง!N94</f>
        <v>1038485.36</v>
      </c>
      <c r="O94" s="151">
        <f t="shared" ref="O94:O96" ca="1" si="27">IF(L94&gt;0,N94*100/L94,0)</f>
        <v>69.522497891199265</v>
      </c>
      <c r="P94" s="151">
        <f t="shared" ref="P94:P96" ca="1" si="28">IF(M94&gt;0,N94*100/M94,0)</f>
        <v>69.522497891199265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ญจนบุรี!L95+จันทบุรี!L95+ฉะเชิงเทรา!L95+ชลบุรี!L95+ชัยนาท!L95+ตราด!L95+นครนายก!L95+นครปฐม!L95+ปทุมธานี!L95+ประจวบคีรีขันธ์!L95+ปราจีนบุรี!L95+พระนครศรีอยุธยา!L95+เพชรบุรี!L95+ระยอง!L95+ราชบุรี!L95+ลพบุรี!L95+สระแก้ว!L95+สระบุรี!L95+สิงห์บุรี!L95+สุพรรณบุรี!L95+อ่างทอง!L95</f>
        <v>0</v>
      </c>
      <c r="M95" s="157">
        <f>กาญจนบุรี!M95+จันทบุรี!M95+ฉะเชิงเทรา!M95+ชลบุรี!M95+ชัยนาท!M95+ตราด!M95+นครนายก!M95+นครปฐม!M95+ปทุมธานี!M95+ประจวบคีรีขันธ์!M95+ปราจีนบุรี!M95+พระนครศรีอยุธยา!M95+เพชรบุรี!M95+ระยอง!M95+ราชบุรี!M95+ลพบุรี!M95+สระแก้ว!M95+สระบุรี!M95+สิงห์บุรี!M95+สุพรรณบุรี!M95+อ่างทอง!M95</f>
        <v>0</v>
      </c>
      <c r="N95" s="157">
        <f>กาญจนบุรี!N95+จันทบุรี!N95+ฉะเชิงเทรา!N95+ชลบุรี!N95+ชัยนาท!N95+ตราด!N95+นครนายก!N95+นครปฐม!N95+ปทุมธานี!N95+ประจวบคีรีขันธ์!N95+ปราจีนบุรี!N95+พระนครศรีอยุธยา!N95+เพชรบุรี!N95+ระยอง!N95+ราชบุรี!N95+ลพบุรี!N95+สระแก้ว!N95+สระบุรี!N95+สิงห์บุรี!N95+สุพรรณบุรี!N95+อ่างทอง!N95</f>
        <v>0</v>
      </c>
      <c r="O95" s="156">
        <f t="shared" si="27"/>
        <v>0</v>
      </c>
      <c r="P95" s="156">
        <f t="shared" si="28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ญจนบุรี!L96+จันทบุรี!L96+ฉะเชิงเทรา!L96+ชลบุรี!L96+ชัยนาท!L96+ตราด!L96+นครนายก!L96+นครปฐม!L96+ปทุมธานี!L96+ประจวบคีรีขันธ์!L96+ปราจีนบุรี!L96+พระนครศรีอยุธยา!L96+เพชรบุรี!L96+ระยอง!L96+ราชบุรี!L96+ลพบุรี!L96+สระแก้ว!L96+สระบุรี!L96+สิงห์บุรี!L96+สุพรรณบุรี!L96+อ่างทอง!L96</f>
        <v>1493740</v>
      </c>
      <c r="M96" s="157">
        <f ca="1">กาญจนบุรี!M96+จันทบุรี!M96+ฉะเชิงเทรา!M96+ชลบุรี!M96+ชัยนาท!M96+ตราด!M96+นครนายก!M96+นครปฐม!M96+ปทุมธานี!M96+ประจวบคีรีขันธ์!M96+ปราจีนบุรี!M96+พระนครศรีอยุธยา!M96+เพชรบุรี!M96+ระยอง!M96+ราชบุรี!M96+ลพบุรี!M96+สระแก้ว!M96+สระบุรี!M96+สิงห์บุรี!M96+สุพรรณบุรี!M96+อ่างทอง!M96</f>
        <v>1493740</v>
      </c>
      <c r="N96" s="157">
        <f ca="1">กาญจนบุรี!N96+จันทบุรี!N96+ฉะเชิงเทรา!N96+ชลบุรี!N96+ชัยนาท!N96+ตราด!N96+นครนายก!N96+นครปฐม!N96+ปทุมธานี!N96+ประจวบคีรีขันธ์!N96+ปราจีนบุรี!N96+พระนครศรีอยุธยา!N96+เพชรบุรี!N96+ระยอง!N96+ราชบุรี!N96+ลพบุรี!N96+สระแก้ว!N96+สระบุรี!N96+สิงห์บุรี!N96+สุพรรณบุรี!N96+อ่างทอง!N96</f>
        <v>1038485.36</v>
      </c>
      <c r="O96" s="156">
        <f t="shared" ca="1" si="27"/>
        <v>69.522497891199265</v>
      </c>
      <c r="P96" s="156">
        <f t="shared" ca="1" si="28"/>
        <v>69.522497891199265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ญจนบุรี!L97+จันทบุรี!L97+ฉะเชิงเทรา!L97+ชลบุรี!L97+ชัยนาท!L97+ตราด!L97+นครนายก!L97+นครปฐม!L97+ปทุมธานี!L97+ประจวบคีรีขันธ์!L97+ปราจีนบุรี!L97+พระนครศรีอยุธยา!L97+เพชรบุรี!L97+ระยอง!L97+ราชบุรี!L97+ลพบุรี!L97+สระแก้ว!L97+สระบุรี!L97+สิงห์บุรี!L97+สุพรรณบุรี!L97+อ่างทอง!L97</f>
        <v>0</v>
      </c>
      <c r="M97" s="164">
        <f>กาญจนบุรี!M97+จันทบุรี!M97+ฉะเชิงเทรา!M97+ชลบุรี!M97+ชัยนาท!M97+ตราด!M97+นครนายก!M97+นครปฐม!M97+ปทุมธานี!M97+ประจวบคีรีขันธ์!M97+ปราจีนบุรี!M97+พระนครศรีอยุธยา!M97+เพชรบุรี!M97+ระยอง!M97+ราชบุรี!M97+ลพบุรี!M97+สระแก้ว!M97+สระบุรี!M97+สิงห์บุรี!M97+สุพรรณบุรี!M97+อ่างทอง!M97</f>
        <v>0</v>
      </c>
      <c r="N97" s="164">
        <f>กาญจนบุรี!N97+จันทบุรี!N97+ฉะเชิงเทรา!N97+ชลบุรี!N97+ชัยนาท!N97+ตราด!N97+นครนายก!N97+นครปฐม!N97+ปทุมธานี!N97+ประจวบคีรีขันธ์!N97+ปราจีนบุรี!N97+พระนครศรีอยุธยา!N97+เพชรบุรี!N97+ระยอง!N97+ราชบุรี!N97+ลพบุรี!N97+สระแก้ว!N97+สระบุรี!N97+สิงห์บุรี!N97+สุพรรณบุรี!N97+อ่างทอง!N97</f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ญจนบุรี!L98+จันทบุรี!L98+ฉะเชิงเทรา!L98+ชลบุรี!L98+ชัยนาท!L98+ตราด!L98+นครนายก!L98+นครปฐม!L98+ปทุมธานี!L98+ประจวบคีรีขันธ์!L98+ปราจีนบุรี!L98+พระนครศรีอยุธยา!L98+เพชรบุรี!L98+ระยอง!L98+ราชบุรี!L98+ลพบุรี!L98+สระแก้ว!L98+สระบุรี!L98+สิงห์บุรี!L98+สุพรรณบุรี!L98+อ่างทอง!L98</f>
        <v>754540</v>
      </c>
      <c r="M98" s="168">
        <f ca="1">กาญจนบุรี!M98+จันทบุรี!M98+ฉะเชิงเทรา!M98+ชลบุรี!M98+ชัยนาท!M98+ตราด!M98+นครนายก!M98+นครปฐม!M98+ปทุมธานี!M98+ประจวบคีรีขันธ์!M98+ปราจีนบุรี!M98+พระนครศรีอยุธยา!M98+เพชรบุรี!M98+ระยอง!M98+ราชบุรี!M98+ลพบุรี!M98+สระแก้ว!M98+สระบุรี!M98+สิงห์บุรี!M98+สุพรรณบุรี!M98+อ่างทอง!M98</f>
        <v>754540</v>
      </c>
      <c r="N98" s="169">
        <f ca="1">กาญจนบุรี!N98+จันทบุรี!N98+ฉะเชิงเทรา!N98+ชลบุรี!N98+ชัยนาท!N98+ตราด!N98+นครนายก!N98+นครปฐม!N98+ปทุมธานี!N98+ประจวบคีรีขันธ์!N98+ปราจีนบุรี!N98+พระนครศรีอยุธยา!N98+เพชรบุรี!N98+ระยอง!N98+ราชบุรี!N98+ลพบุรี!N98+สระแก้ว!N98+สระบุรี!N98+สิงห์บุรี!N98+สุพรรณบุรี!N98+อ่างทอง!N98</f>
        <v>299285.36</v>
      </c>
      <c r="O98" s="169">
        <f ca="1">IF(L98&gt;0,N98*100/L98,0)</f>
        <v>39.664611551408804</v>
      </c>
      <c r="P98" s="169">
        <f ca="1">IF(M98&gt;0,N98*100/M98,0)</f>
        <v>39.664611551408804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ญจนบุรี!L99+จันทบุรี!L99+ฉะเชิงเทรา!L99+ชลบุรี!L99+ชัยนาท!L99+ตราด!L99+นครนายก!L99+นครปฐม!L99+ปทุมธานี!L99+ประจวบคีรีขันธ์!L99+ปราจีนบุรี!L99+พระนครศรีอยุธยา!L99+เพชรบุรี!L99+ระยอง!L99+ราชบุรี!L99+ลพบุรี!L99+สระแก้ว!L99+สระบุรี!L99+สิงห์บุรี!L99+สุพรรณบุรี!L99+อ่างทอง!L99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กาญจนบุรี!L100+จันทบุรี!L100+ฉะเชิงเทรา!L100+ชลบุรี!L100+ชัยนาท!L100+ตราด!L100+นครนายก!L100+นครปฐม!L100+ปทุมธานี!L100+ประจวบคีรีขันธ์!L100+ปราจีนบุรี!L100+พระนครศรีอยุธยา!L100+เพชรบุรี!L100+ระยอง!L100+ราชบุรี!L100+ลพบุรี!L100+สระแก้ว!L100+สระบุรี!L100+สิงห์บุรี!L100+สุพรรณบุรี!L100+อ่างทอง!L100</f>
        <v>754540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f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739200</v>
      </c>
      <c r="M102" s="49">
        <f ca="1"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739200</v>
      </c>
      <c r="N102" s="49">
        <f ca="1">กาญจนบุรี!N102+จันทบุรี!N102+ฉะเชิงเทรา!N102+ชลบุรี!N102+ชัยนาท!N102+ตราด!N102+นครนายก!N102+นครปฐม!N102+ปทุมธานี!N102+ประจวบคีรีขันธ์!N102+ปราจีนบุรี!N102+พระนครศรีอยุธยา!N102+เพชรบุรี!N102+ระยอง!N102+ราชบุรี!N102+ลพบุรี!N102+สระแก้ว!N102+สระบุรี!N102+สิงห์บุรี!N102+สุพรรณบุรี!N102+อ่างทอง!N102</f>
        <v>739200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ญจนบุรี!J104+จันทบุรี!J104+ฉะเชิงเทรา!J104+ชลบุรี!J104+ชัยนาท!J104+ตราด!J104+นครนายก!J104+นครปฐม!J104+ปทุมธานี!J104+ประจวบคีรีขันธ์!J104+ปราจีนบุรี!J104+พระนครศรีอยุธยา!J104+เพชรบุรี!J104+ระยอง!J104+ราชบุรี!J104+ลพบุรี!J104+สระแก้ว!J104+สระบุรี!J104+สิงห์บุรี!J104+สุพรรณบุรี!J104+อ่างทอง!J104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ญจนบุรี!J105+จันทบุรี!J105+ฉะเชิงเทรา!J105+ชลบุรี!J105+ชัยนาท!J105+ตราด!J105+นครนายก!J105+นครปฐม!J105+ปทุมธานี!J105+ประจวบคีรีขันธ์!J105+ปราจีนบุรี!J105+พระนครศรีอยุธยา!J105+เพชรบุรี!J105+ระยอง!J105+ราชบุรี!J105+ลพบุรี!J105+สระแก้ว!J105+สระบุรี!J105+สิงห์บุรี!J105+สุพรรณบุรี!J105+อ่างทอง!J105</f>
        <v>5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6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4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ญจนบุรี!I108+จันทบุรี!I108+ฉะเชิงเทรา!I108+ชลบุรี!I108+ชัยนาท!I108+ตราด!I108+นครนายก!I108+นครปฐม!I108+ปทุมธานี!I108+ประจวบคีรีขันธ์!I108+ปราจีนบุรี!I108+พระนครศรีอยุธยา!I108+เพชรบุรี!I108+ระยอง!I108+ราชบุรี!I108+ลพบุรี!I108+สระแก้ว!I108+สระบุรี!I108+สิงห์บุรี!I108+สุพรรณบุรี!I108+อ่างทอง!I108</f>
        <v>6</v>
      </c>
      <c r="J108" s="204">
        <f ca="1"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5</v>
      </c>
      <c r="K108" s="224">
        <f t="shared" ref="K108:K113" ca="1" si="29">IF(I108&gt;0,J108*100/I108,0)</f>
        <v>83.333333333333329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ญจนบุรี!I109+จันทบุรี!I109+ฉะเชิงเทรา!I109+ชลบุรี!I109+ชัยนาท!I109+ตราด!I109+นครนายก!I109+นครปฐม!I109+ปทุมธานี!I109+ประจวบคีรีขันธ์!I109+ปราจีนบุรี!I109+พระนครศรีอยุธยา!I109+เพชรบุรี!I109+ระยอง!I109+ราชบุรี!I109+ลพบุรี!I109+สระแก้ว!I109+สระบุรี!I109+สิงห์บุรี!I109+สุพรรณบุรี!I109+อ่างทอง!I109</f>
        <v>29</v>
      </c>
      <c r="J109" s="204">
        <f ca="1"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18</v>
      </c>
      <c r="K109" s="224">
        <f t="shared" ca="1" si="29"/>
        <v>62.068965517241381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29</v>
      </c>
      <c r="J110" s="204">
        <f ca="1"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29</v>
      </c>
      <c r="K110" s="224">
        <f t="shared" ca="1" si="29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29</v>
      </c>
      <c r="J111" s="204">
        <f ca="1"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22</v>
      </c>
      <c r="K111" s="224">
        <f t="shared" ca="1" si="29"/>
        <v>75.862068965517238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กาญจนบุรี!I112+จันทบุรี!I112+ฉะเชิงเทรา!I112+ชลบุรี!I112+ชัยนาท!I112+ตราด!I112+นครนายก!I112+นครปฐม!I112+ปทุมธานี!I112+ประจวบคีรีขันธ์!I112+ปราจีนบุรี!I112+พระนครศรีอยุธยา!I112+เพชรบุรี!I112+ระยอง!I112+ราชบุรี!I112+ลพบุรี!I112+สระแก้ว!I112+สระบุรี!I112+สิงห์บุรี!I112+สุพรรณบุรี!I112+อ่างทอง!I112</f>
        <v>29</v>
      </c>
      <c r="J112" s="204">
        <f ca="1"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29</v>
      </c>
      <c r="K112" s="224">
        <f t="shared" ca="1" si="29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ญจนบุรี!I113+จันทบุรี!I113+ฉะเชิงเทรา!I113+ชลบุรี!I113+ชัยนาท!I113+ตราด!I113+นครนายก!I113+นครปฐม!I113+ปทุมธานี!I113+ประจวบคีรีขันธ์!I113+ปราจีนบุรี!I113+พระนครศรีอยุธยา!I113+เพชรบุรี!I113+ระยอง!I113+ราชบุรี!I113+ลพบุรี!I113+สระแก้ว!I113+สระบุรี!I113+สิงห์บุรี!I113+สุพรรณบุรี!I113+อ่างทอง!I113</f>
        <v>8</v>
      </c>
      <c r="J113" s="204">
        <f ca="1"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3</v>
      </c>
      <c r="K113" s="224">
        <f t="shared" ca="1" si="29"/>
        <v>37.5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กาญจนบุรี!J115+จันทบุรี!J115+ฉะเชิงเทรา!J115+ชลบุรี!J115+ชัยนาท!J115+ตราด!J115+นครนายก!J115+นครปฐม!J115+ปทุมธานี!J115+ประจวบคีรีขันธ์!J115+ปราจีนบุรี!J115+พระนครศรีอยุธยา!J115+เพชรบุรี!J115+ระยอง!J115+ราชบุรี!J115+ลพบุรี!J115+สระแก้ว!J115+สระบุรี!J115+สิงห์บุรี!J115+สุพรรณบุรี!J115+อ่างทอง!J115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กาญจนบุรี!I117+จันทบุรี!I117+ฉะเชิงเทรา!I117+ชลบุรี!I117+ชัยนาท!I117+ตราด!I117+นครนายก!I117+นครปฐม!I117+ปทุมธานี!I117+ประจวบคีรีขันธ์!I117+ปราจีนบุรี!I117+พระนครศรีอยุธยา!I117+เพชรบุรี!I117+ระยอง!I117+ราชบุรี!I117+ลพบุรี!I117+สระแก้ว!I117+สระบุรี!I117+สิงห์บุรี!I117+สุพรรณบุรี!I117+อ่างทอง!I117</f>
        <v>105</v>
      </c>
      <c r="J117" s="142">
        <f ca="1">กาญจนบุรี!J117+จันทบุรี!J117+ฉะเชิงเทรา!J117+ชลบุรี!J117+ชัยนาท!J117+ตราด!J117+นครนายก!J117+นครปฐม!J117+ปทุมธานี!J117+ประจวบคีรีขันธ์!J117+ปราจีนบุรี!J117+พระนครศรีอยุธยา!J117+เพชรบุรี!J117+ระยอง!J117+ราชบุรี!J117+ลพบุรี!J117+สระแก้ว!J117+สระบุรี!J117+สิงห์บุรี!J117+สุพรรณบุรี!J117+อ่างทอง!J117</f>
        <v>105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ca="1">กาญจนบุรี!L118+จันทบุรี!L118+ฉะเชิงเทรา!L118+ชลบุรี!L118+ชัยนาท!L118+ตราด!L118+นครนายก!L118+นครปฐม!L118+ปทุมธานี!L118+ประจวบคีรีขันธ์!L118+ปราจีนบุรี!L118+พระนครศรีอยุธยา!L118+เพชรบุรี!L118+ระยอง!L118+ราชบุรี!L118+ลพบุรี!L118+สระแก้ว!L118+สระบุรี!L118+สิงห์บุรี!L118+สุพรรณบุรี!L118+อ่างทอง!L118</f>
        <v>441990</v>
      </c>
      <c r="M118" s="152">
        <f ca="1">กาญจนบุรี!M118+จันทบุรี!M118+ฉะเชิงเทรา!M118+ชลบุรี!M118+ชัยนาท!M118+ตราด!M118+นครนายก!M118+นครปฐม!M118+ปทุมธานี!M118+ประจวบคีรีขันธ์!M118+ปราจีนบุรี!M118+พระนครศรีอยุธยา!M118+เพชรบุรี!M118+ระยอง!M118+ราชบุรี!M118+ลพบุรี!M118+สระแก้ว!M118+สระบุรี!M118+สิงห์บุรี!M118+สุพรรณบุรี!M118+อ่างทอง!M118</f>
        <v>441990</v>
      </c>
      <c r="N118" s="152">
        <f ca="1">กาญจนบุรี!N118+จันทบุรี!N118+ฉะเชิงเทรา!N118+ชลบุรี!N118+ชัยนาท!N118+ตราด!N118+นครนายก!N118+นครปฐม!N118+ปทุมธานี!N118+ประจวบคีรีขันธ์!N118+ปราจีนบุรี!N118+พระนครศรีอยุธยา!N118+เพชรบุรี!N118+ระยอง!N118+ราชบุรี!N118+ลพบุรี!N118+สระแก้ว!N118+สระบุรี!N118+สิงห์บุรี!N118+สุพรรณบุรี!N118+อ่างทอง!N118</f>
        <v>220648</v>
      </c>
      <c r="O118" s="151">
        <f t="shared" ref="O118:O120" ca="1" si="30">IF(L118&gt;0,N118*100/L118,0)</f>
        <v>49.921491436457842</v>
      </c>
      <c r="P118" s="151">
        <f t="shared" ref="P118:P120" ca="1" si="31">IF(M118&gt;0,N118*100/M118,0)</f>
        <v>49.921491436457842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ญจนบุรี!L119+จันทบุรี!L119+ฉะเชิงเทรา!L119+ชลบุรี!L119+ชัยนาท!L119+ตราด!L119+นครนายก!L119+นครปฐม!L119+ปทุมธานี!L119+ประจวบคีรีขันธ์!L119+ปราจีนบุรี!L119+พระนครศรีอยุธยา!L119+เพชรบุรี!L119+ระยอง!L119+ราชบุรี!L119+ลพบุรี!L119+สระแก้ว!L119+สระบุรี!L119+สิงห์บุรี!L119+สุพรรณบุรี!L119+อ่างทอง!L119</f>
        <v>0</v>
      </c>
      <c r="M119" s="157">
        <f>กาญจนบุรี!M119+จันทบุรี!M119+ฉะเชิงเทรา!M119+ชลบุรี!M119+ชัยนาท!M119+ตราด!M119+นครนายก!M119+นครปฐม!M119+ปทุมธานี!M119+ประจวบคีรีขันธ์!M119+ปราจีนบุรี!M119+พระนครศรีอยุธยา!M119+เพชรบุรี!M119+ระยอง!M119+ราชบุรี!M119+ลพบุรี!M119+สระแก้ว!M119+สระบุรี!M119+สิงห์บุรี!M119+สุพรรณบุรี!M119+อ่างทอง!M119</f>
        <v>0</v>
      </c>
      <c r="N119" s="157">
        <f>กาญจนบุรี!N119+จันทบุรี!N119+ฉะเชิงเทรา!N119+ชลบุรี!N119+ชัยนาท!N119+ตราด!N119+นครนายก!N119+นครปฐม!N119+ปทุมธานี!N119+ประจวบคีรีขันธ์!N119+ปราจีนบุรี!N119+พระนครศรีอยุธยา!N119+เพชรบุรี!N119+ระยอง!N119+ราชบุรี!N119+ลพบุรี!N119+สระแก้ว!N119+สระบุรี!N119+สิงห์บุรี!N119+สุพรรณบุรี!N119+อ่างทอง!N119</f>
        <v>0</v>
      </c>
      <c r="O119" s="156">
        <f t="shared" si="30"/>
        <v>0</v>
      </c>
      <c r="P119" s="156">
        <f t="shared" si="31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ญจนบุรี!L120+จันทบุรี!L120+ฉะเชิงเทรา!L120+ชลบุรี!L120+ชัยนาท!L120+ตราด!L120+นครนายก!L120+นครปฐม!L120+ปทุมธานี!L120+ประจวบคีรีขันธ์!L120+ปราจีนบุรี!L120+พระนครศรีอยุธยา!L120+เพชรบุรี!L120+ระยอง!L120+ราชบุรี!L120+ลพบุรี!L120+สระแก้ว!L120+สระบุรี!L120+สิงห์บุรี!L120+สุพรรณบุรี!L120+อ่างทอง!L120</f>
        <v>441990</v>
      </c>
      <c r="M120" s="157">
        <f ca="1">กาญจนบุรี!M120+จันทบุรี!M120+ฉะเชิงเทรา!M120+ชลบุรี!M120+ชัยนาท!M120+ตราด!M120+นครนายก!M120+นครปฐม!M120+ปทุมธานี!M120+ประจวบคีรีขันธ์!M120+ปราจีนบุรี!M120+พระนครศรีอยุธยา!M120+เพชรบุรี!M120+ระยอง!M120+ราชบุรี!M120+ลพบุรี!M120+สระแก้ว!M120+สระบุรี!M120+สิงห์บุรี!M120+สุพรรณบุรี!M120+อ่างทอง!M120</f>
        <v>441990</v>
      </c>
      <c r="N120" s="157">
        <f ca="1">กาญจนบุรี!N120+จันทบุรี!N120+ฉะเชิงเทรา!N120+ชลบุรี!N120+ชัยนาท!N120+ตราด!N120+นครนายก!N120+นครปฐม!N120+ปทุมธานี!N120+ประจวบคีรีขันธ์!N120+ปราจีนบุรี!N120+พระนครศรีอยุธยา!N120+เพชรบุรี!N120+ระยอง!N120+ราชบุรี!N120+ลพบุรี!N120+สระแก้ว!N120+สระบุรี!N120+สิงห์บุรี!N120+สุพรรณบุรี!N120+อ่างทอง!N120</f>
        <v>220648</v>
      </c>
      <c r="O120" s="156">
        <f t="shared" ca="1" si="30"/>
        <v>49.921491436457842</v>
      </c>
      <c r="P120" s="156">
        <f t="shared" ca="1" si="31"/>
        <v>49.921491436457842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ญจนบุรี!L121+จันทบุรี!L121+ฉะเชิงเทรา!L121+ชลบุรี!L121+ชัยนาท!L121+ตราด!L121+นครนายก!L121+นครปฐม!L121+ปทุมธานี!L121+ประจวบคีรีขันธ์!L121+ปราจีนบุรี!L121+พระนครศรีอยุธยา!L121+เพชรบุรี!L121+ระยอง!L121+ราชบุรี!L121+ลพบุรี!L121+สระแก้ว!L121+สระบุรี!L121+สิงห์บุรี!L121+สุพรรณบุรี!L121+อ่างทอง!L121</f>
        <v>0</v>
      </c>
      <c r="M121" s="164">
        <f>กาญจนบุรี!M121+จันทบุรี!M121+ฉะเชิงเทรา!M121+ชลบุรี!M121+ชัยนาท!M121+ตราด!M121+นครนายก!M121+นครปฐม!M121+ปทุมธานี!M121+ประจวบคีรีขันธ์!M121+ปราจีนบุรี!M121+พระนครศรีอยุธยา!M121+เพชรบุรี!M121+ระยอง!M121+ราชบุรี!M121+ลพบุรี!M121+สระแก้ว!M121+สระบุรี!M121+สิงห์บุรี!M121+สุพรรณบุรี!M121+อ่างทอง!M121</f>
        <v>0</v>
      </c>
      <c r="N121" s="164">
        <f>กาญจนบุรี!N121+จันทบุรี!N121+ฉะเชิงเทรา!N121+ชลบุรี!N121+ชัยนาท!N121+ตราด!N121+นครนายก!N121+นครปฐม!N121+ปทุมธานี!N121+ประจวบคีรีขันธ์!N121+ปราจีนบุรี!N121+พระนครศรีอยุธยา!N121+เพชรบุรี!N121+ระยอง!N121+ราชบุรี!N121+ลพบุรี!N121+สระแก้ว!N121+สระบุรี!N121+สิงห์บุรี!N121+สุพรรณบุรี!N121+อ่างทอง!N121</f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ญจนบุรี!L122+จันทบุรี!L122+ฉะเชิงเทรา!L122+ชลบุรี!L122+ชัยนาท!L122+ตราด!L122+นครนายก!L122+นครปฐม!L122+ปทุมธานี!L122+ประจวบคีรีขันธ์!L122+ปราจีนบุรี!L122+พระนครศรีอยุธยา!L122+เพชรบุรี!L122+ระยอง!L122+ราชบุรี!L122+ลพบุรี!L122+สระแก้ว!L122+สระบุรี!L122+สิงห์บุรี!L122+สุพรรณบุรี!L122+อ่างทอง!L122</f>
        <v>441990</v>
      </c>
      <c r="M122" s="168">
        <f ca="1">กาญจนบุรี!M122+จันทบุรี!M122+ฉะเชิงเทรา!M122+ชลบุรี!M122+ชัยนาท!M122+ตราด!M122+นครนายก!M122+นครปฐม!M122+ปทุมธานี!M122+ประจวบคีรีขันธ์!M122+ปราจีนบุรี!M122+พระนครศรีอยุธยา!M122+เพชรบุรี!M122+ระยอง!M122+ราชบุรี!M122+ลพบุรี!M122+สระแก้ว!M122+สระบุรี!M122+สิงห์บุรี!M122+สุพรรณบุรี!M122+อ่างทอง!M122</f>
        <v>441990</v>
      </c>
      <c r="N122" s="169">
        <f ca="1">กาญจนบุรี!N122+จันทบุรี!N122+ฉะเชิงเทรา!N122+ชลบุรี!N122+ชัยนาท!N122+ตราด!N122+นครนายก!N122+นครปฐม!N122+ปทุมธานี!N122+ประจวบคีรีขันธ์!N122+ปราจีนบุรี!N122+พระนครศรีอยุธยา!N122+เพชรบุรี!N122+ระยอง!N122+ราชบุรี!N122+ลพบุรี!N122+สระแก้ว!N122+สระบุรี!N122+สิงห์บุรี!N122+สุพรรณบุรี!N122+อ่างทอง!N122</f>
        <v>220648</v>
      </c>
      <c r="O122" s="169">
        <f ca="1">IF(L122&gt;0,N122*100/L122,0)</f>
        <v>49.921491436457842</v>
      </c>
      <c r="P122" s="169">
        <f ca="1">IF(M122&gt;0,N122*100/M122,0)</f>
        <v>49.921491436457842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ญจนบุรี!L123+จันทบุรี!L123+ฉะเชิงเทรา!L123+ชลบุรี!L123+ชัยนาท!L123+ตราด!L123+นครนายก!L123+นครปฐม!L123+ปทุมธานี!L123+ประจวบคีรีขันธ์!L123+ปราจีนบุรี!L123+พระนครศรีอยุธยา!L123+เพชรบุรี!L123+ระยอง!L123+ราชบุรี!L123+ลพบุรี!L123+สระแก้ว!L123+สระบุรี!L123+สิงห์บุรี!L123+สุพรรณบุรี!L123+อ่างทอง!L123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กาญจนบุรี!L124+จันทบุรี!L124+ฉะเชิงเทรา!L124+ชลบุรี!L124+ชัยนาท!L124+ตราด!L124+นครนายก!L124+นครปฐม!L124+ปทุมธานี!L124+ประจวบคีรีขันธ์!L124+ปราจีนบุรี!L124+พระนครศรีอยุธยา!L124+เพชรบุรี!L124+ระยอง!L124+ราชบุรี!L124+ลพบุรี!L124+สระแก้ว!L124+สระบุรี!L124+สิงห์บุรี!L124+สุพรรณบุรี!L124+อ่างทอง!L124</f>
        <v>441990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f>กาญจนบุรี!L125+จันทบุรี!L125+ฉะเชิงเทรา!L125+ชลบุรี!L125+ชัยนาท!L125+ตราด!L125+นครนายก!L125+นครปฐม!L125+ปทุมธานี!L125+ประจวบคีรีขันธ์!L125+ปราจีนบุรี!L125+พระนครศรีอยุธยา!L125+เพชรบุรี!L125+ระยอง!L125+ราชบุรี!L125+ลพบุรี!L125+สระแก้ว!L125+สระบุรี!L125+สิงห์บุรี!L125+สุพรรณบุรี!L125+อ่างทอง!L125</f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กาญจนบุรี!L126+จันทบุรี!L126+ฉะเชิงเทรา!L126+ชลบุรี!L126+ชัยนาท!L126+ตราด!L126+นครนายก!L126+นครปฐม!L126+ปทุมธานี!L126+ประจวบคีรีขันธ์!L126+ปราจีนบุรี!L126+พระนครศรีอยุธยา!L126+เพชรบุรี!L126+ระยอง!L126+ราชบุรี!L126+ลพบุรี!L126+สระแก้ว!L126+สระบุรี!L126+สิงห์บุรี!L126+สุพรรณบุรี!L126+อ่างทอง!L126</f>
        <v>0</v>
      </c>
      <c r="M126" s="49"/>
      <c r="N126" s="49">
        <f ca="1">กาญจนบุรี!N126+จันทบุรี!N126+ฉะเชิงเทรา!N126+ชลบุรี!N126+ชัยนาท!N126+ตราด!N126+นครนายก!N126+นครปฐม!N126+ปทุมธานี!N126+ประจวบคีรีขันธ์!N126+ปราจีนบุรี!N126+พระนครศรีอยุธยา!N126+เพชรบุรี!N126+ระยอง!N126+ราชบุรี!N126+ลพบุรี!N126+สระแก้ว!N126+สระบุรี!N126+สิงห์บุรี!N126+สุพรรณบุรี!N126+อ่างทอง!N126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68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6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ญจนบุรี!J130+จันทบุรี!J130+ฉะเชิงเทรา!J130+ชลบุรี!J130+ชัยนาท!J130+ตราด!J130+นครนายก!J130+นครปฐม!J130+ปทุมธานี!J130+ประจวบคีรีขันธ์!J130+ปราจีนบุรี!J130+พระนครศรีอยุธยา!J130+เพชรบุรี!J130+ระยอง!J130+ราชบุรี!J130+ลพบุรี!J130+สระแก้ว!J130+สระบุรี!J130+สิงห์บุรี!J130+สุพรรณบุรี!J130+อ่างทอง!J130</f>
        <v>6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ญจนบุรี!J131+จันทบุรี!J131+ฉะเชิงเทรา!J131+ชลบุรี!J131+ชัยนาท!J131+ตราด!J131+นครนายก!J131+นครปฐม!J131+ปทุมธานี!J131+ประจวบคีรีขันธ์!J131+ปราจีนบุรี!J131+พระนครศรีอยุธยา!J131+เพชรบุรี!J131+ระยอง!J131+ราชบุรี!J131+ลพบุรี!J131+สระแก้ว!J131+สระบุรี!J131+สิงห์บุรี!J131+สุพรรณบุรี!J131+อ่างทอง!J131</f>
        <v>5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ญจนบุรี!I132+จันทบุรี!I132+ฉะเชิงเทรา!I132+ชลบุรี!I132+ชัยนาท!I132+ตราด!I132+นครนายก!I132+นครปฐม!I132+ปทุมธานี!I132+ประจวบคีรีขันธ์!I132+ปราจีนบุรี!I132+พระนครศรีอยุธยา!I132+เพชรบุรี!I132+ระยอง!I132+ราชบุรี!I132+ลพบุรี!I132+สระแก้ว!I132+สระบุรี!I132+สิงห์บุรี!I132+สุพรรณบุรี!I132+อ่างทอง!I132</f>
        <v>105</v>
      </c>
      <c r="J132" s="204">
        <f ca="1">กาญจนบุรี!J132+จันทบุรี!J132+ฉะเชิงเทรา!J132+ชลบุรี!J132+ชัยนาท!J132+ตราด!J132+นครนายก!J132+นครปฐม!J132+ปทุมธานี!J132+ประจวบคีรีขันธ์!J132+ปราจีนบุรี!J132+พระนครศรีอยุธยา!J132+เพชรบุรี!J132+ระยอง!J132+ราชบุรี!J132+ลพบุรี!J132+สระแก้ว!J132+สระบุรี!J132+สิงห์บุรี!J132+สุพรรณบุรี!J132+อ่างทอง!J132</f>
        <v>105</v>
      </c>
      <c r="K132" s="224">
        <f t="shared" ref="K132:K133" ca="1" si="32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ญจนบุรี!I133+จันทบุรี!I133+ฉะเชิงเทรา!I133+ชลบุรี!I133+ชัยนาท!I133+ตราด!I133+นครนายก!I133+นครปฐม!I133+ปทุมธานี!I133+ประจวบคีรีขันธ์!I133+ปราจีนบุรี!I133+พระนครศรีอยุธยา!I133+เพชรบุรี!I133+ระยอง!I133+ราชบุรี!I133+ลพบุรี!I133+สระแก้ว!I133+สระบุรี!I133+สิงห์บุรี!I133+สุพรรณบุรี!I133+อ่างทอง!I133</f>
        <v>105</v>
      </c>
      <c r="J133" s="204">
        <f ca="1">กาญจนบุรี!J133+จันทบุรี!J133+ฉะเชิงเทรา!J133+ชลบุรี!J133+ชัยนาท!J133+ตราด!J133+นครนายก!J133+นครปฐม!J133+ปทุมธานี!J133+ประจวบคีรีขันธ์!J133+ปราจีนบุรี!J133+พระนครศรีอยุธยา!J133+เพชรบุรี!J133+ระยอง!J133+ราชบุรี!J133+ลพบุรี!J133+สระแก้ว!J133+สระบุรี!J133+สิงห์บุรี!J133+สุพรรณบุรี!J133+อ่างทอง!J133</f>
        <v>68</v>
      </c>
      <c r="K133" s="224">
        <f t="shared" ca="1" si="32"/>
        <v>64.761904761904759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2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440</v>
      </c>
      <c r="J138" s="267">
        <f ca="1"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440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ca="1">กาญจนบุรี!L140+จันทบุรี!L140+ฉะเชิงเทรา!L140+ชลบุรี!L140+ชัยนาท!L140+ตราด!L140+นครนายก!L140+นครปฐม!L140+ปทุมธานี!L140+ประจวบคีรีขันธ์!L140+ปราจีนบุรี!L140+พระนครศรีอยุธยา!L140+เพชรบุรี!L140+ระยอง!L140+ราชบุรี!L140+ลพบุรี!L140+สระแก้ว!L140+สระบุรี!L140+สิงห์บุรี!L140+สุพรรณบุรี!L140+อ่างทอง!L140</f>
        <v>6816300</v>
      </c>
      <c r="M140" s="152">
        <f ca="1">กาญจนบุรี!M140+จันทบุรี!M140+ฉะเชิงเทรา!M140+ชลบุรี!M140+ชัยนาท!M140+ตราด!M140+นครนายก!M140+นครปฐม!M140+ปทุมธานี!M140+ประจวบคีรีขันธ์!M140+ปราจีนบุรี!M140+พระนครศรีอยุธยา!M140+เพชรบุรี!M140+ระยอง!M140+ราชบุรี!M140+ลพบุรี!M140+สระแก้ว!M140+สระบุรี!M140+สิงห์บุรี!M140+สุพรรณบุรี!M140+อ่างทอง!M140</f>
        <v>5661635</v>
      </c>
      <c r="N140" s="152">
        <f ca="1">กาญจนบุรี!N140+จันทบุรี!N140+ฉะเชิงเทรา!N140+ชลบุรี!N140+ชัยนาท!N140+ตราด!N140+นครนายก!N140+นครปฐม!N140+ปทุมธานี!N140+ประจวบคีรีขันธ์!N140+ปราจีนบุรี!N140+พระนครศรีอยุธยา!N140+เพชรบุรี!N140+ระยอง!N140+ราชบุรี!N140+ลพบุรี!N140+สระแก้ว!N140+สระบุรี!N140+สิงห์บุรี!N140+สุพรรณบุรี!N140+อ่างทอง!N140</f>
        <v>3413242.0599999991</v>
      </c>
      <c r="O140" s="151">
        <f t="shared" ref="O140:O142" ca="1" si="33">IF(L140&gt;0,N140*100/L140,0)</f>
        <v>50.0747041650162</v>
      </c>
      <c r="P140" s="151">
        <f t="shared" ref="P140:P142" ca="1" si="34">IF(M140&gt;0,N140*100/M140,0)</f>
        <v>60.287214912300058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ญจนบุรี!L141+จันทบุรี!L141+ฉะเชิงเทรา!L141+ชลบุรี!L141+ชัยนาท!L141+ตราด!L141+นครนายก!L141+นครปฐม!L141+ปทุมธานี!L141+ประจวบคีรีขันธ์!L141+ปราจีนบุรี!L141+พระนครศรีอยุธยา!L141+เพชรบุรี!L141+ระยอง!L141+ราชบุรี!L141+ลพบุรี!L141+สระแก้ว!L141+สระบุรี!L141+สิงห์บุรี!L141+สุพรรณบุรี!L141+อ่างทอง!L141</f>
        <v>0</v>
      </c>
      <c r="M141" s="157">
        <f>กาญจนบุรี!M141+จันทบุรี!M141+ฉะเชิงเทรา!M141+ชลบุรี!M141+ชัยนาท!M141+ตราด!M141+นครนายก!M141+นครปฐม!M141+ปทุมธานี!M141+ประจวบคีรีขันธ์!M141+ปราจีนบุรี!M141+พระนครศรีอยุธยา!M141+เพชรบุรี!M141+ระยอง!M141+ราชบุรี!M141+ลพบุรี!M141+สระแก้ว!M141+สระบุรี!M141+สิงห์บุรี!M141+สุพรรณบุรี!M141+อ่างทอง!M141</f>
        <v>0</v>
      </c>
      <c r="N141" s="157">
        <f>กาญจนบุรี!N141+จันทบุรี!N141+ฉะเชิงเทรา!N141+ชลบุรี!N141+ชัยนาท!N141+ตราด!N141+นครนายก!N141+นครปฐม!N141+ปทุมธานี!N141+ประจวบคีรีขันธ์!N141+ปราจีนบุรี!N141+พระนครศรีอยุธยา!N141+เพชรบุรี!N141+ระยอง!N141+ราชบุรี!N141+ลพบุรี!N141+สระแก้ว!N141+สระบุรี!N141+สิงห์บุรี!N141+สุพรรณบุรี!N141+อ่างทอง!N141</f>
        <v>0</v>
      </c>
      <c r="O141" s="156">
        <f t="shared" si="33"/>
        <v>0</v>
      </c>
      <c r="P141" s="156">
        <f t="shared" si="34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ญจนบุรี!L142+จันทบุรี!L142+ฉะเชิงเทรา!L142+ชลบุรี!L142+ชัยนาท!L142+ตราด!L142+นครนายก!L142+นครปฐม!L142+ปทุมธานี!L142+ประจวบคีรีขันธ์!L142+ปราจีนบุรี!L142+พระนครศรีอยุธยา!L142+เพชรบุรี!L142+ระยอง!L142+ราชบุรี!L142+ลพบุรี!L142+สระแก้ว!L142+สระบุรี!L142+สิงห์บุรี!L142+สุพรรณบุรี!L142+อ่างทอง!L142</f>
        <v>6816300</v>
      </c>
      <c r="M142" s="157">
        <f ca="1">กาญจนบุรี!M142+จันทบุรี!M142+ฉะเชิงเทรา!M142+ชลบุรี!M142+ชัยนาท!M142+ตราด!M142+นครนายก!M142+นครปฐม!M142+ปทุมธานี!M142+ประจวบคีรีขันธ์!M142+ปราจีนบุรี!M142+พระนครศรีอยุธยา!M142+เพชรบุรี!M142+ระยอง!M142+ราชบุรี!M142+ลพบุรี!M142+สระแก้ว!M142+สระบุรี!M142+สิงห์บุรี!M142+สุพรรณบุรี!M142+อ่างทอง!M142</f>
        <v>5661635</v>
      </c>
      <c r="N142" s="157">
        <f ca="1">กาญจนบุรี!N142+จันทบุรี!N142+ฉะเชิงเทรา!N142+ชลบุรี!N142+ชัยนาท!N142+ตราด!N142+นครนายก!N142+นครปฐม!N142+ปทุมธานี!N142+ประจวบคีรีขันธ์!N142+ปราจีนบุรี!N142+พระนครศรีอยุธยา!N142+เพชรบุรี!N142+ระยอง!N142+ราชบุรี!N142+ลพบุรี!N142+สระแก้ว!N142+สระบุรี!N142+สิงห์บุรี!N142+สุพรรณบุรี!N142+อ่างทอง!N142</f>
        <v>3413242.0599999991</v>
      </c>
      <c r="O142" s="156">
        <f t="shared" ca="1" si="33"/>
        <v>50.0747041650162</v>
      </c>
      <c r="P142" s="156">
        <f t="shared" ca="1" si="34"/>
        <v>60.287214912300058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ญจนบุรี!L143+จันทบุรี!L143+ฉะเชิงเทรา!L143+ชลบุรี!L143+ชัยนาท!L143+ตราด!L143+นครนายก!L143+นครปฐม!L143+ปทุมธานี!L143+ประจวบคีรีขันธ์!L143+ปราจีนบุรี!L143+พระนครศรีอยุธยา!L143+เพชรบุรี!L143+ระยอง!L143+ราชบุรี!L143+ลพบุรี!L143+สระแก้ว!L143+สระบุรี!L143+สิงห์บุรี!L143+สุพรรณบุรี!L143+อ่างทอง!L143</f>
        <v>0</v>
      </c>
      <c r="M143" s="164">
        <f>กาญจนบุรี!M143+จันทบุรี!M143+ฉะเชิงเทรา!M143+ชลบุรี!M143+ชัยนาท!M143+ตราด!M143+นครนายก!M143+นครปฐม!M143+ปทุมธานี!M143+ประจวบคีรีขันธ์!M143+ปราจีนบุรี!M143+พระนครศรีอยุธยา!M143+เพชรบุรี!M143+ระยอง!M143+ราชบุรี!M143+ลพบุรี!M143+สระแก้ว!M143+สระบุรี!M143+สิงห์บุรี!M143+สุพรรณบุรี!M143+อ่างทอง!M143</f>
        <v>0</v>
      </c>
      <c r="N143" s="164">
        <f>กาญจนบุรี!N143+จันทบุรี!N143+ฉะเชิงเทรา!N143+ชลบุรี!N143+ชัยนาท!N143+ตราด!N143+นครนายก!N143+นครปฐม!N143+ปทุมธานี!N143+ประจวบคีรีขันธ์!N143+ปราจีนบุรี!N143+พระนครศรีอยุธยา!N143+เพชรบุรี!N143+ระยอง!N143+ราชบุรี!N143+ลพบุรี!N143+สระแก้ว!N143+สระบุรี!N143+สิงห์บุรี!N143+สุพรรณบุรี!N143+อ่างทอง!N143</f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6816300</v>
      </c>
      <c r="M144" s="168">
        <f ca="1"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5661635</v>
      </c>
      <c r="N144" s="169">
        <f ca="1">กาญจนบุรี!N144+จันทบุรี!N144+ฉะเชิงเทรา!N144+ชลบุรี!N144+ชัยนาท!N144+ตราด!N144+นครนายก!N144+นครปฐม!N144+ปทุมธานี!N144+ประจวบคีรีขันธ์!N144+ปราจีนบุรี!N144+พระนครศรีอยุธยา!N144+เพชรบุรี!N144+ระยอง!N144+ราชบุรี!N144+ลพบุรี!N144+สระแก้ว!N144+สระบุรี!N144+สิงห์บุรี!N144+สุพรรณบุรี!N144+อ่างทอง!N144</f>
        <v>3413242.0599999991</v>
      </c>
      <c r="O144" s="169">
        <f ca="1">IF(L144&gt;0,N144*100/L144,0)</f>
        <v>50.0747041650162</v>
      </c>
      <c r="P144" s="169">
        <f ca="1">IF(M144&gt;0,N144*100/M144,0)</f>
        <v>60.287214912300058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3590600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3225700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0</v>
      </c>
      <c r="M148" s="49"/>
      <c r="N148" s="49">
        <f ca="1">กาญจนบุรี!N148+จันทบุรี!N148+ฉะเชิงเทรา!N148+ชลบุรี!N148+ชัยนาท!N148+ตราด!N148+นครนายก!N148+นครปฐม!N148+ปทุมธานี!N148+ประจวบคีรีขันธ์!N148+ปราจีนบุรี!N148+พระนครศรีอยุธยา!N148+เพชรบุรี!N148+ระยอง!N148+ราชบุรี!N148+ลพบุรี!N148+สระแก้ว!N148+สระบุรี!N148+สิงห์บุรี!N148+สุพรรณบุรี!N148+อ่างทอง!N148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84</v>
      </c>
      <c r="J149" s="275">
        <f ca="1"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35</v>
      </c>
      <c r="K149" s="276">
        <f ca="1">IF(I149&gt;0,J149*100/I149,0)</f>
        <v>41.666666666666664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21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13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16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84</v>
      </c>
      <c r="J158" s="189">
        <f ca="1"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35</v>
      </c>
      <c r="K158" s="163">
        <f ca="1">IF(I158&gt;0,J158*100/I158,0)</f>
        <v>41.666666666666664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กาญจนบุรี!J159+จันทบุรี!J159+ฉะเชิงเทรา!J159+ชลบุรี!J159+ชัยนาท!J159+ตราด!J159+นครนายก!J159+นครปฐม!J159+ปทุมธานี!J159+ประจวบคีรีขันธ์!J159+ปราจีนบุรี!J159+พระนครศรีอยุธยา!J159+เพชรบุรี!J159+ระยอง!J159+ราชบุรี!J159+ลพบุรี!J159+สระแก้ว!J159+สระบุรี!J159+สิงห์บุรี!J159+สุพรรณบุรี!J159+อ่างทอง!J159</f>
        <v>1090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1089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50</v>
      </c>
      <c r="J164" s="284">
        <f ca="1"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43</v>
      </c>
      <c r="K164" s="285">
        <f ca="1">IF(I164&gt;0,J164*100/I164,0)</f>
        <v>86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ญจนบุรี!J170+จันทบุรี!J170+ฉะเชิงเทรา!J170+ชลบุรี!J170+ชัยนาท!J170+ตราด!J170+นครนายก!J170+นครปฐม!J170+ปทุมธานี!J170+ประจวบคีรีขันธ์!J170+ปราจีนบุรี!J170+พระนครศรีอยุธยา!J170+เพชรบุรี!J170+ระยอง!J170+ราชบุรี!J170+ลพบุรี!J170+สระแก้ว!J170+สระบุรี!J170+สิงห์บุรี!J170+สุพรรณบุรี!J170+อ่างทอง!J170</f>
        <v>19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ญจนบุรี!J171+จันทบุรี!J171+ฉะเชิงเทรา!J171+ชลบุรี!J171+ชัยนาท!J171+ตราด!J171+นครนายก!J171+นครปฐม!J171+ปทุมธานี!J171+ประจวบคีรีขันธ์!J171+ปราจีนบุรี!J171+พระนครศรีอยุธยา!J171+เพชรบุรี!J171+ระยอง!J171+ราชบุรี!J171+ลพบุรี!J171+สระแก้ว!J171+สระบุรี!J171+สิงห์บุรี!J171+สุพรรณบุรี!J171+อ่างทอง!J171</f>
        <v>18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ญจนบุรี!J172+จันทบุรี!J172+ฉะเชิงเทรา!J172+ชลบุรี!J172+ชัยนาท!J172+ตราด!J172+นครนายก!J172+นครปฐม!J172+ปทุมธานี!J172+ประจวบคีรีขันธ์!J172+ปราจีนบุรี!J172+พระนครศรีอยุธยา!J172+เพชรบุรี!J172+ระยอง!J172+ราชบุรี!J172+ลพบุรี!J172+สระแก้ว!J172+สระบุรี!J172+สิงห์บุรี!J172+สุพรรณบุรี!J172+อ่างทอง!J172</f>
        <v>16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ญจนบุรี!I173+จันทบุรี!I173+ฉะเชิงเทรา!I173+ชลบุรี!I173+ชัยนาท!I173+ตราด!I173+นครนายก!I173+นครปฐม!I173+ปทุมธานี!I173+ประจวบคีรีขันธ์!I173+ปราจีนบุรี!I173+พระนครศรีอยุธยา!I173+เพชรบุรี!I173+ระยอง!I173+ราชบุรี!I173+ลพบุรี!I173+สระแก้ว!I173+สระบุรี!I173+สิงห์บุรี!I173+สุพรรณบุรี!I173+อ่างทอง!I173</f>
        <v>50</v>
      </c>
      <c r="J173" s="189">
        <f ca="1">กาญจนบุรี!J173+จันทบุรี!J173+ฉะเชิงเทรา!J173+ชลบุรี!J173+ชัยนาท!J173+ตราด!J173+นครนายก!J173+นครปฐม!J173+ปทุมธานี!J173+ประจวบคีรีขันธ์!J173+ปราจีนบุรี!J173+พระนครศรีอยุธยา!J173+เพชรบุรี!J173+ระยอง!J173+ราชบุรี!J173+ลพบุรี!J173+สระแก้ว!J173+สระบุรี!J173+สิงห์บุรี!J173+สุพรรณบุรี!J173+อ่างทอง!J173</f>
        <v>43</v>
      </c>
      <c r="K173" s="163">
        <f ca="1">IF(I173&gt;0,J173*100/I173,0)</f>
        <v>86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ญจนบุรี!J174+จันทบุรี!J174+ฉะเชิงเทรา!J174+ชลบุรี!J174+ชัยนาท!J174+ตราด!J174+นครนายก!J174+นครปฐม!J174+ปทุมธานี!J174+ประจวบคีรีขันธ์!J174+ปราจีนบุรี!J174+พระนครศรีอยุธยา!J174+เพชรบุรี!J174+ระยอง!J174+ราชบุรี!J174+ลพบุรี!J174+สระแก้ว!J174+สระบุรี!J174+สิงห์บุรี!J174+สุพรรณบุรี!J174+อ่างทอง!J174</f>
        <v>6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3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กาญจนบุรี!I176+จันทบุรี!I176+ฉะเชิงเทรา!I176+ชลบุรี!I176+ชัยนาท!I176+ตราด!I176+นครนายก!I176+นครปฐม!I176+ปทุมธานี!I176+ประจวบคีรีขันธ์!I176+ปราจีนบุรี!I176+พระนครศรีอยุธยา!I176+เพชรบุรี!I176+ระยอง!I176+ราชบุรี!I176+ลพบุรี!I176+สระแก้ว!I176+สระบุรี!I176+สิงห์บุรี!I176+สุพรรณบุรี!I176+อ่างทอง!I176</f>
        <v>17</v>
      </c>
      <c r="J176" s="284">
        <f ca="1"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17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5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5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4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17</v>
      </c>
      <c r="J185" s="204">
        <f ca="1"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0</v>
      </c>
      <c r="K185" s="224">
        <f t="shared" ref="K185:K186" ca="1" si="35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ญจนบุรี!I186+จันทบุรี!I186+ฉะเชิงเทรา!I186+ชลบุรี!I186+ชัยนาท!I186+ตราด!I186+นครนายก!I186+นครปฐม!I186+ปทุมธานี!I186+ประจวบคีรีขันธ์!I186+ปราจีนบุรี!I186+พระนครศรีอยุธยา!I186+เพชรบุรี!I186+ระยอง!I186+ราชบุรี!I186+ลพบุรี!I186+สระแก้ว!I186+สระบุรี!I186+สิงห์บุรี!I186+สุพรรณบุรี!I186+อ่างทอง!I186</f>
        <v>17</v>
      </c>
      <c r="J186" s="204">
        <f ca="1">กาญจนบุรี!J186+จันทบุรี!J186+ฉะเชิงเทรา!J186+ชลบุรี!J186+ชัยนาท!J186+ตราด!J186+นครนายก!J186+นครปฐม!J186+ปทุมธานี!J186+ประจวบคีรีขันธ์!J186+ปราจีนบุรี!J186+พระนครศรีอยุธยา!J186+เพชรบุรี!J186+ระยอง!J186+ราชบุรี!J186+ลพบุรี!J186+สระแก้ว!J186+สระบุรี!J186+สิงห์บุรี!J186+สุพรรณบุรี!J186+อ่างทอง!J186</f>
        <v>17</v>
      </c>
      <c r="K186" s="224">
        <f t="shared" ca="1" si="35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ญจนบุรี!J187+จันทบุรี!J187+ฉะเชิงเทรา!J187+ชลบุรี!J187+ชัยนาท!J187+ตราด!J187+นครนายก!J187+นครปฐม!J187+ปทุมธานี!J187+ประจวบคีรีขันธ์!J187+ปราจีนบุรี!J187+พระนครศรีอยุธยา!J187+เพชรบุรี!J187+ระยอง!J187+ราชบุรี!J187+ลพบุรี!J187+สระแก้ว!J187+สระบุรี!J187+สิงห์บุรี!J187+สุพรรณบุรี!J187+อ่างทอง!J187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กาญจนบุรี!J188+จันทบุรี!J188+ฉะเชิงเทรา!J188+ชลบุรี!J188+ชัยนาท!J188+ตราด!J188+นครนายก!J188+นครปฐม!J188+ปทุมธานี!J188+ประจวบคีรีขันธ์!J188+ปราจีนบุรี!J188+พระนครศรีอยุธยา!J188+เพชรบุรี!J188+ระยอง!J188+ราชบุรี!J188+ลพบุรี!J188+สระแก้ว!J188+สระบุรี!J188+สิงห์บุรี!J188+สุพรรณบุรี!J188+อ่างทอง!J188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กาญจนบุรี!I189+จันทบุรี!I189+ฉะเชิงเทรา!I189+ชลบุรี!I189+ชัยนาท!I189+ตราด!I189+นครนายก!I189+นครปฐม!I189+ปทุมธานี!I189+ประจวบคีรีขันธ์!I189+ปราจีนบุรี!I189+พระนครศรีอยุธยา!I189+เพชรบุรี!I189+ระยอง!I189+ราชบุรี!I189+ลพบุรี!I189+สระแก้ว!I189+สระบุรี!I189+สิงห์บุรี!I189+สุพรรณบุรี!I189+อ่างทอง!I189</f>
        <v>451000</v>
      </c>
      <c r="J189" s="284">
        <f ca="1">กาญจนบุรี!J189+จันทบุรี!J189+ฉะเชิงเทรา!J189+ชลบุรี!J189+ชัยนาท!J189+ตราด!J189+นครนายก!J189+นครปฐม!J189+ปทุมธานี!J189+ประจวบคีรีขันธ์!J189+ปราจีนบุรี!J189+พระนครศรีอยุธยา!J189+เพชรบุรี!J189+ระยอง!J189+ราชบุรี!J189+ลพบุรี!J189+สระแก้ว!J189+สระบุรี!J189+สิงห์บุรี!J189+สุพรรณบุรี!J189+อ่างทอง!J189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6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15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12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8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ญจนบุรี!J198+จันทบุรี!J198+ฉะเชิงเทรา!J198+ชลบุรี!J198+ชัยนาท!J198+ตราด!J198+นครนายก!J198+นครปฐม!J198+ปทุมธานี!J198+ประจวบคีรีขันธ์!J198+ปราจีนบุรี!J198+พระนครศรีอยุธยา!J198+เพชรบุรี!J198+ระยอง!J198+ราชบุรี!J198+ลพบุรี!J198+สระแก้ว!J198+สระบุรี!J198+สิงห์บุรี!J198+สุพรรณบุรี!J198+อ่างทอง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451000</v>
      </c>
      <c r="J199" s="189">
        <f ca="1"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72800</v>
      </c>
      <c r="K199" s="163">
        <f t="shared" ref="K199:K201" ca="1" si="36">IF(I199&gt;0,J199*100/I199,0)</f>
        <v>16.14190687361419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ญจนบุรี!I200+จันทบุรี!I200+ฉะเชิงเทรา!I200+ชลบุรี!I200+ชัยนาท!I200+ตราด!I200+นครนายก!I200+นครปฐม!I200+ปทุมธานี!I200+ประจวบคีรีขันธ์!I200+ปราจีนบุรี!I200+พระนครศรีอยุธยา!I200+เพชรบุรี!I200+ระยอง!I200+ราชบุรี!I200+ลพบุรี!I200+สระแก้ว!I200+สระบุรี!I200+สิงห์บุรี!I200+สุพรรณบุรี!I200+อ่างทอง!I200</f>
        <v>451000</v>
      </c>
      <c r="J200" s="189">
        <f ca="1">กาญจนบุรี!J200+จันทบุรี!J200+ฉะเชิงเทรา!J200+ชลบุรี!J200+ชัยนาท!J200+ตราด!J200+นครนายก!J200+นครปฐม!J200+ปทุมธานี!J200+ประจวบคีรีขันธ์!J200+ปราจีนบุรี!J200+พระนครศรีอยุธยา!J200+เพชรบุรี!J200+ระยอง!J200+ราชบุรี!J200+ลพบุรี!J200+สระแก้ว!J200+สระบุรี!J200+สิงห์บุรี!J200+สุพรรณบุรี!J200+อ่างทอง!J200</f>
        <v>0</v>
      </c>
      <c r="K200" s="163">
        <f t="shared" ca="1" si="36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ญจนบุรี!I201+จันทบุรี!I201+ฉะเชิงเทรา!I201+ชลบุรี!I201+ชัยนาท!I201+ตราด!I201+นครนายก!I201+นครปฐม!I201+ปทุมธานี!I201+ประจวบคีรีขันธ์!I201+ปราจีนบุรี!I201+พระนครศรีอยุธยา!I201+เพชรบุรี!I201+ระยอง!I201+ราชบุรี!I201+ลพบุรี!I201+สระแก้ว!I201+สระบุรี!I201+สิงห์บุรี!I201+สุพรรณบุรี!I201+อ่างทอง!I201</f>
        <v>60</v>
      </c>
      <c r="J201" s="189">
        <f ca="1">กาญจนบุรี!J201+จันทบุรี!J201+ฉะเชิงเทรา!J201+ชลบุรี!J201+ชัยนาท!J201+ตราด!J201+นครนายก!J201+นครปฐม!J201+ปทุมธานี!J201+ประจวบคีรีขันธ์!J201+ปราจีนบุรี!J201+พระนครศรีอยุธยา!J201+เพชรบุรี!J201+ระยอง!J201+ราชบุรี!J201+ลพบุรี!J201+สระแก้ว!J201+สระบุรี!J201+สิงห์บุรี!J201+สุพรรณบุรี!J201+อ่างทอง!J201</f>
        <v>60</v>
      </c>
      <c r="K201" s="163">
        <f t="shared" ca="1" si="36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ญจนบุรี!J202+จันทบุรี!J202+ฉะเชิงเทรา!J202+ชลบุรี!J202+ชัยนาท!J202+ตราด!J202+นครนายก!J202+นครปฐม!J202+ปทุมธานี!J202+ประจวบคีรีขันธ์!J202+ปราจีนบุรี!J202+พระนครศรีอยุธยา!J202+เพชรบุรี!J202+ระยอง!J202+ราชบุรี!J202+ลพบุรี!J202+สระแก้ว!J202+สระบุรี!J202+สิงห์บุรี!J202+สุพรรณบุรี!J202+อ่างทอง!J202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กาญจนบุรี!J203+จันทบุรี!J203+ฉะเชิงเทรา!J203+ชลบุรี!J203+ชัยนาท!J203+ตราด!J203+นครนายก!J203+นครปฐม!J203+ปทุมธานี!J203+ประจวบคีรีขันธ์!J203+ปราจีนบุรี!J203+พระนครศรีอยุธยา!J203+เพชรบุรี!J203+ระยอง!J203+ราชบุรี!J203+ลพบุรี!J203+สระแก้ว!J203+สระบุรี!J203+สิงห์บุรี!J203+สุพรรณบุรี!J203+อ่างทอง!J203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กาญจนบุรี!I204+จันทบุรี!I204+ฉะเชิงเทรา!I204+ชลบุรี!I204+ชัยนาท!I204+ตราด!I204+นครนายก!I204+นครปฐม!I204+ปทุมธานี!I204+ประจวบคีรีขันธ์!I204+ปราจีนบุรี!I204+พระนครศรีอยุธยา!I204+เพชรบุรี!I204+ระยอง!I204+ราชบุรี!I204+ลพบุรี!I204+สระแก้ว!I204+สระบุรี!I204+สิงห์บุรี!I204+สุพรรณบุรี!I204+อ่างทอง!I204</f>
        <v>380</v>
      </c>
      <c r="J204" s="284">
        <f ca="1">กาญจนบุรี!J204+จันทบุรี!J204+ฉะเชิงเทรา!J204+ชลบุรี!J204+ชัยนาท!J204+ตราด!J204+นครนายก!J204+นครปฐม!J204+ปทุมธานี!J204+ประจวบคีรีขันธ์!J204+ปราจีนบุรี!J204+พระนครศรีอยุธยา!J204+เพชรบุรี!J204+ระยอง!J204+ราชบุรี!J204+ลพบุรี!J204+สระแก้ว!J204+สระบุรี!J204+สิงห์บุรี!J204+สุพรรณบุรี!J204+อ่างทอง!J204</f>
        <v>380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ญจนบุรี!J210+จันทบุรี!J210+ฉะเชิงเทรา!J210+ชลบุรี!J210+ชัยนาท!J210+ตราด!J210+นครนายก!J210+นครปฐม!J210+ปทุมธานี!J210+ประจวบคีรีขันธ์!J210+ปราจีนบุรี!J210+พระนครศรีอยุธยา!J210+เพชรบุรี!J210+ระยอง!J210+ราชบุรี!J210+ลพบุรี!J210+สระแก้ว!J210+สระบุรี!J210+สิงห์บุรี!J210+สุพรรณบุรี!J210+อ่างทอง!J210</f>
        <v>11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11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9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ญจนบุรี!I213+จันทบุรี!I213+ฉะเชิงเทรา!I213+ชลบุรี!I213+ชัยนาท!I213+ตราด!I213+นครนายก!I213+นครปฐม!I213+ปทุมธานี!I213+ประจวบคีรีขันธ์!I213+ปราจีนบุรี!I213+พระนครศรีอยุธยา!I213+เพชรบุรี!I213+ระยอง!I213+ราชบุรี!I213+ลพบุรี!I213+สระแก้ว!I213+สระบุรี!I213+สิงห์บุรี!I213+สุพรรณบุรี!I213+อ่างทอง!I213</f>
        <v>380</v>
      </c>
      <c r="J213" s="204">
        <f ca="1"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380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0</v>
      </c>
      <c r="J214" s="188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กาญจนบุรี!I215+จันทบุรี!I215+ฉะเชิงเทรา!I215+ชลบุรี!I215+ชัยนาท!I215+ตราด!I215+นครนายก!I215+นครปฐม!I215+ปทุมธานี!I215+ประจวบคีรีขันธ์!I215+ปราจีนบุรี!I215+พระนครศรีอยุธยา!I215+เพชรบุรี!I215+ระยอง!I215+ราชบุรี!I215+ลพบุรี!I215+สระแก้ว!I215+สระบุรี!I215+สิงห์บุรี!I215+สุพรรณบุรี!I215+อ่างทอง!I215</f>
        <v>120</v>
      </c>
      <c r="J215" s="204">
        <f ca="1">กาญจนบุรี!J215+จันทบุรี!J215+ฉะเชิงเทรา!J215+ชลบุรี!J215+ชัยนาท!J215+ตราด!J215+นครนายก!J215+นครปฐม!J215+ปทุมธานี!J215+ประจวบคีรีขันธ์!J215+ปราจีนบุรี!J215+พระนครศรีอยุธยา!J215+เพชรบุรี!J215+ระยอง!J215+ราชบุรี!J215+ลพบุรี!J215+สระแก้ว!J215+สระบุรี!J215+สิงห์บุรี!J215+สุพรรณบุรี!J215+อ่างทอง!J215</f>
        <v>0</v>
      </c>
      <c r="K215" s="224">
        <f t="shared" ref="K215:K216" ca="1" si="37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กาญจนบุรี!I216+จันทบุรี!I216+ฉะเชิงเทรา!I216+ชลบุรี!I216+ชัยนาท!I216+ตราด!I216+นครนายก!I216+นครปฐม!I216+ปทุมธานี!I216+ประจวบคีรีขันธ์!I216+ปราจีนบุรี!I216+พระนครศรีอยุธยา!I216+เพชรบุรี!I216+ระยอง!I216+ราชบุรี!I216+ลพบุรี!I216+สระแก้ว!I216+สระบุรี!I216+สิงห์บุรี!I216+สุพรรณบุรี!I216+อ่างทอง!I216</f>
        <v>10</v>
      </c>
      <c r="J216" s="204">
        <f ca="1">กาญจนบุรี!J216+จันทบุรี!J216+ฉะเชิงเทรา!J216+ชลบุรี!J216+ชัยนาท!J216+ตราด!J216+นครนายก!J216+นครปฐม!J216+ปทุมธานี!J216+ประจวบคีรีขันธ์!J216+ปราจีนบุรี!J216+พระนครศรีอยุธยา!J216+เพชรบุรี!J216+ระยอง!J216+ราชบุรี!J216+ลพบุรี!J216+สระแก้ว!J216+สระบุรี!J216+สิงห์บุรี!J216+สุพรรณบุรี!J216+อ่างทอง!J216</f>
        <v>0</v>
      </c>
      <c r="K216" s="224">
        <f t="shared" ca="1" si="37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ญจนบุรี!J217+จันทบุรี!J217+ฉะเชิงเทรา!J217+ชลบุรี!J217+ชัยนาท!J217+ตราด!J217+นครนายก!J217+นครปฐม!J217+ปทุมธานี!J217+ประจวบคีรีขันธ์!J217+ปราจีนบุรี!J217+พระนครศรีอยุธยา!J217+เพชรบุรี!J217+ระยอง!J217+ราชบุรี!J217+ลพบุรี!J217+สระแก้ว!J217+สระบุรี!J217+สิงห์บุรี!J217+สุพรรณบุรี!J217+อ่างทอง!J217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กาญจนบุรี!J218+จันทบุรี!J218+ฉะเชิงเทรา!J218+ชลบุรี!J218+ชัยนาท!J218+ตราด!J218+นครนายก!J218+นครปฐม!J218+ปทุมธานี!J218+ประจวบคีรีขันธ์!J218+ปราจีนบุรี!J218+พระนครศรีอยุธยา!J218+เพชรบุรี!J218+ระยอง!J218+ราชบุรี!J218+ลพบุรี!J218+สระแก้ว!J218+สระบุรี!J218+สิงห์บุรี!J218+สุพรรณบุรี!J218+อ่างทอง!J218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กาญจนบุรี!I219+จันทบุรี!I219+ฉะเชิงเทรา!I219+ชลบุรี!I219+ชัยนาท!I219+ตราด!I219+นครนายก!I219+นครปฐม!I219+ปทุมธานี!I219+ประจวบคีรีขันธ์!I219+ปราจีนบุรี!I219+พระนครศรีอยุธยา!I219+เพชรบุรี!I219+ระยอง!I219+ราชบุรี!I219+ลพบุรี!I219+สระแก้ว!I219+สระบุรี!I219+สิงห์บุรี!I219+สุพรรณบุรี!I219+อ่างทอง!I219</f>
        <v>256</v>
      </c>
      <c r="J219" s="267">
        <f ca="1">กาญจนบุรี!J219+จันทบุรี!J219+ฉะเชิงเทรา!J219+ชลบุรี!J219+ชัยนาท!J219+ตราด!J219+นครนายก!J219+นครปฐม!J219+ปทุมธานี!J219+ประจวบคีรีขันธ์!J219+ปราจีนบุรี!J219+พระนครศรีอยุธยา!J219+เพชรบุรี!J219+ระยอง!J219+ราชบุรี!J219+ลพบุรี!J219+สระแก้ว!J219+สระบุรี!J219+สิงห์บุรี!J219+สุพรรณบุรี!J219+อ่างทอง!J219</f>
        <v>256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ca="1">กาญจนบุรี!L220+จันทบุรี!L220+ฉะเชิงเทรา!L220+ชลบุรี!L220+ชัยนาท!L220+ตราด!L220+นครนายก!L220+นครปฐม!L220+ปทุมธานี!L220+ประจวบคีรีขันธ์!L220+ปราจีนบุรี!L220+พระนครศรีอยุธยา!L220+เพชรบุรี!L220+ระยอง!L220+ราชบุรี!L220+ลพบุรี!L220+สระแก้ว!L220+สระบุรี!L220+สิงห์บุรี!L220+สุพรรณบุรี!L220+อ่างทอง!L220</f>
        <v>367440</v>
      </c>
      <c r="M220" s="152">
        <f ca="1">กาญจนบุรี!M220+จันทบุรี!M220+ฉะเชิงเทรา!M220+ชลบุรี!M220+ชัยนาท!M220+ตราด!M220+นครนายก!M220+นครปฐม!M220+ปทุมธานี!M220+ประจวบคีรีขันธ์!M220+ปราจีนบุรี!M220+พระนครศรีอยุธยา!M220+เพชรบุรี!M220+ระยอง!M220+ราชบุรี!M220+ลพบุรี!M220+สระแก้ว!M220+สระบุรี!M220+สิงห์บุรี!M220+สุพรรณบุรี!M220+อ่างทอง!M220</f>
        <v>367440</v>
      </c>
      <c r="N220" s="152">
        <f ca="1">กาญจนบุรี!N220+จันทบุรี!N220+ฉะเชิงเทรา!N220+ชลบุรี!N220+ชัยนาท!N220+ตราด!N220+นครนายก!N220+นครปฐม!N220+ปทุมธานี!N220+ประจวบคีรีขันธ์!N220+ปราจีนบุรี!N220+พระนครศรีอยุธยา!N220+เพชรบุรี!N220+ระยอง!N220+ราชบุรี!N220+ลพบุรี!N220+สระแก้ว!N220+สระบุรี!N220+สิงห์บุรี!N220+สุพรรณบุรี!N220+อ่างทอง!N220</f>
        <v>364547.6</v>
      </c>
      <c r="O220" s="151">
        <f t="shared" ref="O220:O222" ca="1" si="38">IF(L220&gt;0,N220*100/L220,0)</f>
        <v>99.212823862399304</v>
      </c>
      <c r="P220" s="151">
        <f t="shared" ref="P220:P222" ca="1" si="39">IF(M220&gt;0,N220*100/M220,0)</f>
        <v>99.212823862399304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ญจนบุรี!L221+จันทบุรี!L221+ฉะเชิงเทรา!L221+ชลบุรี!L221+ชัยนาท!L221+ตราด!L221+นครนายก!L221+นครปฐม!L221+ปทุมธานี!L221+ประจวบคีรีขันธ์!L221+ปราจีนบุรี!L221+พระนครศรีอยุธยา!L221+เพชรบุรี!L221+ระยอง!L221+ราชบุรี!L221+ลพบุรี!L221+สระแก้ว!L221+สระบุรี!L221+สิงห์บุรี!L221+สุพรรณบุรี!L221+อ่างทอง!L221</f>
        <v>0</v>
      </c>
      <c r="M221" s="157">
        <f>กาญจนบุรี!M221+จันทบุรี!M221+ฉะเชิงเทรา!M221+ชลบุรี!M221+ชัยนาท!M221+ตราด!M221+นครนายก!M221+นครปฐม!M221+ปทุมธานี!M221+ประจวบคีรีขันธ์!M221+ปราจีนบุรี!M221+พระนครศรีอยุธยา!M221+เพชรบุรี!M221+ระยอง!M221+ราชบุรี!M221+ลพบุรี!M221+สระแก้ว!M221+สระบุรี!M221+สิงห์บุรี!M221+สุพรรณบุรี!M221+อ่างทอง!M221</f>
        <v>0</v>
      </c>
      <c r="N221" s="157">
        <f>กาญจนบุรี!N221+จันทบุรี!N221+ฉะเชิงเทรา!N221+ชลบุรี!N221+ชัยนาท!N221+ตราด!N221+นครนายก!N221+นครปฐม!N221+ปทุมธานี!N221+ประจวบคีรีขันธ์!N221+ปราจีนบุรี!N221+พระนครศรีอยุธยา!N221+เพชรบุรี!N221+ระยอง!N221+ราชบุรี!N221+ลพบุรี!N221+สระแก้ว!N221+สระบุรี!N221+สิงห์บุรี!N221+สุพรรณบุรี!N221+อ่างทอง!N221</f>
        <v>0</v>
      </c>
      <c r="O221" s="156">
        <f t="shared" si="38"/>
        <v>0</v>
      </c>
      <c r="P221" s="156">
        <f t="shared" si="39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ญจนบุรี!L222+จันทบุรี!L222+ฉะเชิงเทรา!L222+ชลบุรี!L222+ชัยนาท!L222+ตราด!L222+นครนายก!L222+นครปฐม!L222+ปทุมธานี!L222+ประจวบคีรีขันธ์!L222+ปราจีนบุรี!L222+พระนครศรีอยุธยา!L222+เพชรบุรี!L222+ระยอง!L222+ราชบุรี!L222+ลพบุรี!L222+สระแก้ว!L222+สระบุรี!L222+สิงห์บุรี!L222+สุพรรณบุรี!L222+อ่างทอง!L222</f>
        <v>367440</v>
      </c>
      <c r="M222" s="157">
        <f ca="1">กาญจนบุรี!M222+จันทบุรี!M222+ฉะเชิงเทรา!M222+ชลบุรี!M222+ชัยนาท!M222+ตราด!M222+นครนายก!M222+นครปฐม!M222+ปทุมธานี!M222+ประจวบคีรีขันธ์!M222+ปราจีนบุรี!M222+พระนครศรีอยุธยา!M222+เพชรบุรี!M222+ระยอง!M222+ราชบุรี!M222+ลพบุรี!M222+สระแก้ว!M222+สระบุรี!M222+สิงห์บุรี!M222+สุพรรณบุรี!M222+อ่างทอง!M222</f>
        <v>367440</v>
      </c>
      <c r="N222" s="157">
        <f ca="1">กาญจนบุรี!N222+จันทบุรี!N222+ฉะเชิงเทรา!N222+ชลบุรี!N222+ชัยนาท!N222+ตราด!N222+นครนายก!N222+นครปฐม!N222+ปทุมธานี!N222+ประจวบคีรีขันธ์!N222+ปราจีนบุรี!N222+พระนครศรีอยุธยา!N222+เพชรบุรี!N222+ระยอง!N222+ราชบุรี!N222+ลพบุรี!N222+สระแก้ว!N222+สระบุรี!N222+สิงห์บุรี!N222+สุพรรณบุรี!N222+อ่างทอง!N222</f>
        <v>364547.6</v>
      </c>
      <c r="O222" s="156">
        <f t="shared" ca="1" si="38"/>
        <v>99.212823862399304</v>
      </c>
      <c r="P222" s="156">
        <f t="shared" ca="1" si="39"/>
        <v>99.212823862399304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ญจนบุรี!L223+จันทบุรี!L223+ฉะเชิงเทรา!L223+ชลบุรี!L223+ชัยนาท!L223+ตราด!L223+นครนายก!L223+นครปฐม!L223+ปทุมธานี!L223+ประจวบคีรีขันธ์!L223+ปราจีนบุรี!L223+พระนครศรีอยุธยา!L223+เพชรบุรี!L223+ระยอง!L223+ราชบุรี!L223+ลพบุรี!L223+สระแก้ว!L223+สระบุรี!L223+สิงห์บุรี!L223+สุพรรณบุรี!L223+อ่างทอง!L223</f>
        <v>0</v>
      </c>
      <c r="M223" s="164">
        <f>กาญจนบุรี!M223+จันทบุรี!M223+ฉะเชิงเทรา!M223+ชลบุรี!M223+ชัยนาท!M223+ตราด!M223+นครนายก!M223+นครปฐม!M223+ปทุมธานี!M223+ประจวบคีรีขันธ์!M223+ปราจีนบุรี!M223+พระนครศรีอยุธยา!M223+เพชรบุรี!M223+ระยอง!M223+ราชบุรี!M223+ลพบุรี!M223+สระแก้ว!M223+สระบุรี!M223+สิงห์บุรี!M223+สุพรรณบุรี!M223+อ่างทอง!M223</f>
        <v>0</v>
      </c>
      <c r="N223" s="164">
        <f>กาญจนบุรี!N223+จันทบุรี!N223+ฉะเชิงเทรา!N223+ชลบุรี!N223+ชัยนาท!N223+ตราด!N223+นครนายก!N223+นครปฐม!N223+ปทุมธานี!N223+ประจวบคีรีขันธ์!N223+ปราจีนบุรี!N223+พระนครศรีอยุธยา!N223+เพชรบุรี!N223+ระยอง!N223+ราชบุรี!N223+ลพบุรี!N223+สระแก้ว!N223+สระบุรี!N223+สิงห์บุรี!N223+สุพรรณบุรี!N223+อ่างทอง!N223</f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ญจนบุรี!L224+จันทบุรี!L224+ฉะเชิงเทรา!L224+ชลบุรี!L224+ชัยนาท!L224+ตราด!L224+นครนายก!L224+นครปฐม!L224+ปทุมธานี!L224+ประจวบคีรีขันธ์!L224+ปราจีนบุรี!L224+พระนครศรีอยุธยา!L224+เพชรบุรี!L224+ระยอง!L224+ราชบุรี!L224+ลพบุรี!L224+สระแก้ว!L224+สระบุรี!L224+สิงห์บุรี!L224+สุพรรณบุรี!L224+อ่างทอง!L224</f>
        <v>367440</v>
      </c>
      <c r="M224" s="168">
        <f ca="1">กาญจนบุรี!M224+จันทบุรี!M224+ฉะเชิงเทรา!M224+ชลบุรี!M224+ชัยนาท!M224+ตราด!M224+นครนายก!M224+นครปฐม!M224+ปทุมธานี!M224+ประจวบคีรีขันธ์!M224+ปราจีนบุรี!M224+พระนครศรีอยุธยา!M224+เพชรบุรี!M224+ระยอง!M224+ราชบุรี!M224+ลพบุรี!M224+สระแก้ว!M224+สระบุรี!M224+สิงห์บุรี!M224+สุพรรณบุรี!M224+อ่างทอง!M224</f>
        <v>367440</v>
      </c>
      <c r="N224" s="169">
        <f ca="1">กาญจนบุรี!N224+จันทบุรี!N224+ฉะเชิงเทรา!N224+ชลบุรี!N224+ชัยนาท!N224+ตราด!N224+นครนายก!N224+นครปฐม!N224+ปทุมธานี!N224+ประจวบคีรีขันธ์!N224+ปราจีนบุรี!N224+พระนครศรีอยุธยา!N224+เพชรบุรี!N224+ระยอง!N224+ราชบุรี!N224+ลพบุรี!N224+สระแก้ว!N224+สระบุรี!N224+สิงห์บุรี!N224+สุพรรณบุรี!N224+อ่างทอง!N224</f>
        <v>364547.6</v>
      </c>
      <c r="O224" s="169">
        <f ca="1">IF(L224&gt;0,N224*100/L224,0)</f>
        <v>99.212823862399304</v>
      </c>
      <c r="P224" s="169">
        <f ca="1">IF(M224&gt;0,N224*100/M224,0)</f>
        <v>99.212823862399304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ญจนบุรี!L225+จันทบุรี!L225+ฉะเชิงเทรา!L225+ชลบุรี!L225+ชัยนาท!L225+ตราด!L225+นครนายก!L225+นครปฐม!L225+ปทุมธานี!L225+ประจวบคีรีขันธ์!L225+ปราจีนบุรี!L225+พระนครศรีอยุธยา!L225+เพชรบุรี!L225+ระยอง!L225+ราชบุรี!L225+ลพบุรี!L225+สระแก้ว!L225+สระบุรี!L225+สิงห์บุรี!L225+สุพรรณบุรี!L225+อ่างทอง!L225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ญจนบุรี!L226+จันทบุรี!L226+ฉะเชิงเทรา!L226+ชลบุรี!L226+ชัยนาท!L226+ตราด!L226+นครนายก!L226+นครปฐม!L226+ปทุมธานี!L226+ประจวบคีรีขันธ์!L226+ปราจีนบุรี!L226+พระนครศรีอยุธยา!L226+เพชรบุรี!L226+ระยอง!L226+ราชบุรี!L226+ลพบุรี!L226+สระแก้ว!L226+สระบุรี!L226+สิงห์บุรี!L226+สุพรรณบุรี!L226+อ่างทอง!L226</f>
        <v>367440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f>กาญจนบุรี!L227+จันทบุรี!L227+ฉะเชิงเทรา!L227+ชลบุรี!L227+ชัยนาท!L227+ตราด!L227+นครนายก!L227+นครปฐม!L227+ปทุมธานี!L227+ประจวบคีรีขันธ์!L227+ปราจีนบุรี!L227+พระนครศรีอยุธยา!L227+เพชรบุรี!L227+ระยอง!L227+ราชบุรี!L227+ลพบุรี!L227+สระแก้ว!L227+สระบุรี!L227+สิงห์บุรี!L227+สุพรรณบุรี!L227+อ่างทอง!L227</f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0</v>
      </c>
      <c r="M228" s="49"/>
      <c r="N228" s="49">
        <f ca="1">กาญจนบุรี!N228+จันทบุรี!N228+ฉะเชิงเทรา!N228+ชลบุรี!N228+ชัยนาท!N228+ตราด!N228+นครนายก!N228+นครปฐม!N228+ปทุมธานี!N228+ประจวบคีรีขันธ์!N228+ปราจีนบุรี!N228+พระนครศรีอยุธยา!N228+เพชรบุรี!N228+ระยอง!N228+ราชบุรี!N228+ลพบุรี!N228+สระแก้ว!N228+สระบุรี!N228+สิงห์บุรี!N228+สุพรรณบุรี!N228+อ่างทอง!N228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กาญจนบุรี!I229+จันทบุรี!I229+ฉะเชิงเทรา!I229+ชลบุรี!I229+ชัยนาท!I229+ตราด!I229+นครนายก!I229+นครปฐม!I229+ปทุมธานี!I229+ประจวบคีรีขันธ์!I229+ปราจีนบุรี!I229+พระนครศรีอยุธยา!I229+เพชรบุรี!I229+ระยอง!I229+ราชบุรี!I229+ลพบุรี!I229+สระแก้ว!I229+สระบุรี!I229+สิงห์บุรี!I229+สุพรรณบุรี!I229+อ่างทอง!I229</f>
        <v>256</v>
      </c>
      <c r="J229" s="267">
        <f ca="1">กาญจนบุรี!J229+จันทบุรี!J229+ฉะเชิงเทรา!J229+ชลบุรี!J229+ชัยนาท!J229+ตราด!J229+นครนายก!J229+นครปฐม!J229+ปทุมธานี!J229+ประจวบคีรีขันธ์!J229+ปราจีนบุรี!J229+พระนครศรีอยุธยา!J229+เพชรบุรี!J229+ระยอง!J229+ราชบุรี!J229+ลพบุรี!J229+สระแก้ว!J229+สระบุรี!J229+สิงห์บุรี!J229+สุพรรณบุรี!J229+อ่างทอง!J229</f>
        <v>256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ญจนบุรี!J231+จันทบุรี!J231+ฉะเชิงเทรา!J231+ชลบุรี!J231+ชัยนาท!J231+ตราด!J231+นครนายก!J231+นครปฐม!J231+ปทุมธานี!J231+ประจวบคีรีขันธ์!J231+ปราจีนบุรี!J231+พระนครศรีอยุธยา!J231+เพชรบุรี!J231+ระยอง!J231+ราชบุรี!J231+ลพบุรี!J231+สระแก้ว!J231+สระบุรี!J231+สิงห์บุรี!J231+สุพรรณบุรี!J231+อ่างทอง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ญจนบุรี!J232+จันทบุรี!J232+ฉะเชิงเทรา!J232+ชลบุรี!J232+ชัยนาท!J232+ตราด!J232+นครนายก!J232+นครปฐม!J232+ปทุมธานี!J232+ประจวบคีรีขันธ์!J232+ปราจีนบุรี!J232+พระนครศรีอยุธยา!J232+เพชรบุรี!J232+ระยอง!J232+ราชบุรี!J232+ลพบุรี!J232+สระแก้ว!J232+สระบุรี!J232+สิงห์บุรี!J232+สุพรรณบุรี!J232+อ่างทอง!J232</f>
        <v>13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ญจนบุรี!J233+จันทบุรี!J233+ฉะเชิงเทรา!J233+ชลบุรี!J233+ชัยนาท!J233+ตราด!J233+นครนายก!J233+นครปฐม!J233+ปทุมธานี!J233+ประจวบคีรีขันธ์!J233+ปราจีนบุรี!J233+พระนครศรีอยุธยา!J233+เพชรบุรี!J233+ระยอง!J233+ราชบุรี!J233+ลพบุรี!J233+สระแก้ว!J233+สระบุรี!J233+สิงห์บุรี!J233+สุพรรณบุรี!J233+อ่างทอง!J233</f>
        <v>13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12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256</v>
      </c>
      <c r="J235" s="189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256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5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5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0</v>
      </c>
      <c r="J238" s="267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ญจนบุรี!J242+จันทบุรี!J242+ฉะเชิงเทรา!J242+ชลบุรี!J242+ชัยนาท!J242+ตราด!J242+นครนายก!J242+นครปฐม!J242+ปทุมธานี!J242+ประจวบคีรีขันธ์!J242+ปราจีนบุรี!J242+พระนครศรีอยุธยา!J242+เพชรบุรี!J242+ระยอง!J242+ราชบุรี!J242+ลพบุรี!J242+สระแก้ว!J242+สระบุรี!J242+สิงห์บุรี!J242+สุพรรณบุรี!J242+อ่างทอง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ญจนบุรี!J243+จันทบุรี!J243+ฉะเชิงเทรา!J243+ชลบุรี!J243+ชัยนาท!J243+ตราด!J243+นครนายก!J243+นครปฐม!J243+ปทุมธานี!J243+ประจวบคีรีขันธ์!J243+ปราจีนบุรี!J243+พระนครศรีอยุธยา!J243+เพชรบุรี!J243+ระยอง!J243+ราชบุรี!J243+ลพบุรี!J243+สระแก้ว!J243+สระบุรี!J243+สิงห์บุรี!J243+สุพรรณบุรี!J243+อ่างทอง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0</v>
      </c>
      <c r="J244" s="188">
        <f ca="1"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กาญจนบุรี!J246+จันทบุรี!J246+ฉะเชิงเทรา!J246+ชลบุรี!J246+ชัยนาท!J246+ตราด!J246+นครนายก!J246+นครปฐม!J246+ปทุมธานี!J246+ประจวบคีรีขันธ์!J246+ปราจีนบุรี!J246+พระนครศรีอยุธยา!J246+เพชรบุรี!J246+ระยอง!J246+ราชบุรี!J246+ลพบุรี!J246+สระแก้ว!J246+สระบุรี!J246+สิงห์บุรี!J246+สุพรรณบุรี!J246+อ่างทอง!J246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าญจนบุรี!I249+จันทบุรี!I249+ฉะเชิงเทรา!I249+ชลบุรี!I249+ชัยนาท!I249+ตราด!I249+นครนายก!I249+นครปฐม!I249+ปทุมธานี!I249+ประจวบคีรีขันธ์!I249+ปราจีนบุรี!I249+พระนครศรีอยุธยา!I249+เพชรบุรี!I249+ระยอง!I249+ราชบุรี!I249+ลพบุรี!I249+สระแก้ว!I249+สระบุรี!I249+สิงห์บุรี!I249+สุพรรณบุรี!I249+อ่างทอง!I249</f>
        <v>195</v>
      </c>
      <c r="J249" s="316">
        <f ca="1">กาญจนบุรี!J249+จันทบุรี!J249+ฉะเชิงเทรา!J249+ชลบุรี!J249+ชัยนาท!J249+ตราด!J249+นครนายก!J249+นครปฐม!J249+ปทุมธานี!J249+ประจวบคีรีขันธ์!J249+ปราจีนบุรี!J249+พระนครศรีอยุธยา!J249+เพชรบุรี!J249+ระยอง!J249+ราชบุรี!J249+ลพบุรี!J249+สระแก้ว!J249+สระบุรี!J249+สิงห์บุรี!J249+สุพรรณบุรี!J249+อ่างทอง!J249</f>
        <v>195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ca="1">กาญจนบุรี!L250+จันทบุรี!L250+ฉะเชิงเทรา!L250+ชลบุรี!L250+ชัยนาท!L250+ตราด!L250+นครนายก!L250+นครปฐม!L250+ปทุมธานี!L250+ประจวบคีรีขันธ์!L250+ปราจีนบุรี!L250+พระนครศรีอยุธยา!L250+เพชรบุรี!L250+ระยอง!L250+ราชบุรี!L250+ลพบุรี!L250+สระแก้ว!L250+สระบุรี!L250+สิงห์บุรี!L250+สุพรรณบุรี!L250+อ่างทอง!L250</f>
        <v>1135900</v>
      </c>
      <c r="M250" s="152">
        <f ca="1"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900900</v>
      </c>
      <c r="N250" s="152">
        <f ca="1">กาญจนบุรี!N250+จันทบุรี!N250+ฉะเชิงเทรา!N250+ชลบุรี!N250+ชัยนาท!N250+ตราด!N250+นครนายก!N250+นครปฐม!N250+ปทุมธานี!N250+ประจวบคีรีขันธ์!N250+ปราจีนบุรี!N250+พระนครศรีอยุธยา!N250+เพชรบุรี!N250+ระยอง!N250+ราชบุรี!N250+ลพบุรี!N250+สระแก้ว!N250+สระบุรี!N250+สิงห์บุรี!N250+สุพรรณบุรี!N250+อ่างทอง!N250</f>
        <v>491271</v>
      </c>
      <c r="O250" s="151">
        <f t="shared" ref="O250:O252" ca="1" si="40">IF(L250&gt;0,N250*100/L250,0)</f>
        <v>43.249493793467735</v>
      </c>
      <c r="P250" s="151">
        <f t="shared" ref="P250:P252" ca="1" si="41">IF(M250&gt;0,N250*100/M250,0)</f>
        <v>54.531135531135533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ญจนบุรี!L251+จันทบุรี!L251+ฉะเชิงเทรา!L251+ชลบุรี!L251+ชัยนาท!L251+ตราด!L251+นครนายก!L251+นครปฐม!L251+ปทุมธานี!L251+ประจวบคีรีขันธ์!L251+ปราจีนบุรี!L251+พระนครศรีอยุธยา!L251+เพชรบุรี!L251+ระยอง!L251+ราชบุรี!L251+ลพบุรี!L251+สระแก้ว!L251+สระบุรี!L251+สิงห์บุรี!L251+สุพรรณบุรี!L251+อ่างทอง!L251</f>
        <v>0</v>
      </c>
      <c r="M251" s="157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157">
        <f>กาญจนบุรี!N251+จันทบุรี!N251+ฉะเชิงเทรา!N251+ชลบุรี!N251+ชัยนาท!N251+ตราด!N251+นครนายก!N251+นครปฐม!N251+ปทุมธานี!N251+ประจวบคีรีขันธ์!N251+ปราจีนบุรี!N251+พระนครศรีอยุธยา!N251+เพชรบุรี!N251+ระยอง!N251+ราชบุรี!N251+ลพบุรี!N251+สระแก้ว!N251+สระบุรี!N251+สิงห์บุรี!N251+สุพรรณบุรี!N251+อ่างทอง!N251</f>
        <v>0</v>
      </c>
      <c r="O251" s="156">
        <f t="shared" si="40"/>
        <v>0</v>
      </c>
      <c r="P251" s="156">
        <f t="shared" si="41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ญจนบุรี!L252+จันทบุรี!L252+ฉะเชิงเทรา!L252+ชลบุรี!L252+ชัยนาท!L252+ตราด!L252+นครนายก!L252+นครปฐม!L252+ปทุมธานี!L252+ประจวบคีรีขันธ์!L252+ปราจีนบุรี!L252+พระนครศรีอยุธยา!L252+เพชรบุรี!L252+ระยอง!L252+ราชบุรี!L252+ลพบุรี!L252+สระแก้ว!L252+สระบุรี!L252+สิงห์บุรี!L252+สุพรรณบุรี!L252+อ่างทอง!L252</f>
        <v>1135900</v>
      </c>
      <c r="M252" s="157">
        <f ca="1"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900900</v>
      </c>
      <c r="N252" s="157">
        <f ca="1">กาญจนบุรี!N252+จันทบุรี!N252+ฉะเชิงเทรา!N252+ชลบุรี!N252+ชัยนาท!N252+ตราด!N252+นครนายก!N252+นครปฐม!N252+ปทุมธานี!N252+ประจวบคีรีขันธ์!N252+ปราจีนบุรี!N252+พระนครศรีอยุธยา!N252+เพชรบุรี!N252+ระยอง!N252+ราชบุรี!N252+ลพบุรี!N252+สระแก้ว!N252+สระบุรี!N252+สิงห์บุรี!N252+สุพรรณบุรี!N252+อ่างทอง!N252</f>
        <v>491271</v>
      </c>
      <c r="O252" s="156">
        <f t="shared" ca="1" si="40"/>
        <v>43.249493793467735</v>
      </c>
      <c r="P252" s="156">
        <f t="shared" ca="1" si="41"/>
        <v>54.531135531135533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ญจนบุรี!L253+จันทบุรี!L253+ฉะเชิงเทรา!L253+ชลบุรี!L253+ชัยนาท!L253+ตราด!L253+นครนายก!L253+นครปฐม!L253+ปทุมธานี!L253+ประจวบคีรีขันธ์!L253+ปราจีนบุรี!L253+พระนครศรีอยุธยา!L253+เพชรบุรี!L253+ระยอง!L253+ราชบุรี!L253+ลพบุรี!L253+สระแก้ว!L253+สระบุรี!L253+สิงห์บุรี!L253+สุพรรณบุรี!L253+อ่างทอง!L253</f>
        <v>0</v>
      </c>
      <c r="M253" s="164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0</v>
      </c>
      <c r="N253" s="164">
        <f>กาญจนบุรี!N253+จันทบุรี!N253+ฉะเชิงเทรา!N253+ชลบุรี!N253+ชัยนาท!N253+ตราด!N253+นครนายก!N253+นครปฐม!N253+ปทุมธานี!N253+ประจวบคีรีขันธ์!N253+ปราจีนบุรี!N253+พระนครศรีอยุธยา!N253+เพชรบุรี!N253+ระยอง!N253+ราชบุรี!N253+ลพบุรี!N253+สระแก้ว!N253+สระบุรี!N253+สิงห์บุรี!N253+สุพรรณบุรี!N253+อ่างทอง!N253</f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ญจนบุรี!L254+จันทบุรี!L254+ฉะเชิงเทรา!L254+ชลบุรี!L254+ชัยนาท!L254+ตราด!L254+นครนายก!L254+นครปฐม!L254+ปทุมธานี!L254+ประจวบคีรีขันธ์!L254+ปราจีนบุรี!L254+พระนครศรีอยุธยา!L254+เพชรบุรี!L254+ระยอง!L254+ราชบุรี!L254+ลพบุรี!L254+สระแก้ว!L254+สระบุรี!L254+สิงห์บุรี!L254+สุพรรณบุรี!L254+อ่างทอง!L254</f>
        <v>1135900</v>
      </c>
      <c r="M254" s="168">
        <f ca="1">กาญจนบุรี!M254+จันทบุรี!M254+ฉะเชิงเทรา!M254+ชลบุรี!M254+ชัยนาท!M254+ตราด!M254+นครนายก!M254+นครปฐม!M254+ปทุมธานี!M254+ประจวบคีรีขันธ์!M254+ปราจีนบุรี!M254+พระนครศรีอยุธยา!M254+เพชรบุรี!M254+ระยอง!M254+ราชบุรี!M254+ลพบุรี!M254+สระแก้ว!M254+สระบุรี!M254+สิงห์บุรี!M254+สุพรรณบุรี!M254+อ่างทอง!M254</f>
        <v>900900</v>
      </c>
      <c r="N254" s="169">
        <f ca="1">กาญจนบุรี!N254+จันทบุรี!N254+ฉะเชิงเทรา!N254+ชลบุรี!N254+ชัยนาท!N254+ตราด!N254+นครนายก!N254+นครปฐม!N254+ปทุมธานี!N254+ประจวบคีรีขันธ์!N254+ปราจีนบุรี!N254+พระนครศรีอยุธยา!N254+เพชรบุรี!N254+ระยอง!N254+ราชบุรี!N254+ลพบุรี!N254+สระแก้ว!N254+สระบุรี!N254+สิงห์บุรี!N254+สุพรรณบุรี!N254+อ่างทอง!N254</f>
        <v>491271</v>
      </c>
      <c r="O254" s="169">
        <f ca="1">IF(L254&gt;0,N254*100/L254,0)</f>
        <v>43.249493793467735</v>
      </c>
      <c r="P254" s="169">
        <f ca="1">IF(M254&gt;0,N254*100/M254,0)</f>
        <v>54.531135531135533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ญจนบุรี!L255+จันทบุรี!L255+ฉะเชิงเทรา!L255+ชลบุรี!L255+ชัยนาท!L255+ตราด!L255+นครนายก!L255+นครปฐม!L255+ปทุมธานี!L255+ประจวบคีรีขันธ์!L255+ปราจีนบุรี!L255+พระนครศรีอยุธยา!L255+เพชรบุรี!L255+ระยอง!L255+ราชบุรี!L255+ลพบุรี!L255+สระแก้ว!L255+สระบุรี!L255+สิงห์บุรี!L255+สุพรรณบุรี!L255+อ่างทอง!L255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ญจนบุรี!L256+จันทบุรี!L256+ฉะเชิงเทรา!L256+ชลบุรี!L256+ชัยนาท!L256+ตราด!L256+นครนายก!L256+นครปฐม!L256+ปทุมธานี!L256+ประจวบคีรีขันธ์!L256+ปราจีนบุรี!L256+พระนครศรีอยุธยา!L256+เพชรบุรี!L256+ระยอง!L256+ราชบุรี!L256+ลพบุรี!L256+สระแก้ว!L256+สระบุรี!L256+สิงห์บุรี!L256+สุพรรณบุรี!L256+อ่างทอง!L256</f>
        <v>1135900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ญจนบุรี!L257+จันทบุรี!L257+ฉะเชิงเทรา!L257+ชลบุรี!L257+ชัยนาท!L257+ตราด!L257+นครนายก!L257+นครปฐม!L257+ปทุมธานี!L257+ประจวบคีรีขันธ์!L257+ปราจีนบุรี!L257+พระนครศรีอยุธยา!L257+เพชรบุรี!L257+ระยอง!L257+ราชบุรี!L257+ลพบุรี!L257+สระแก้ว!L257+สระบุรี!L257+สิงห์บุรี!L257+สุพรรณบุรี!L257+อ่างทอง!L257</f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ญจนบุรี!L258+จันทบุรี!L258+ฉะเชิงเทรา!L258+ชลบุรี!L258+ชัยนาท!L258+ตราด!L258+นครนายก!L258+นครปฐม!L258+ปทุมธานี!L258+ประจวบคีรีขันธ์!L258+ปราจีนบุรี!L258+พระนครศรีอยุธยา!L258+เพชรบุรี!L258+ระยอง!L258+ราชบุรี!L258+ลพบุรี!L258+สระแก้ว!L258+สระบุรี!L258+สิงห์บุรี!L258+สุพรรณบุรี!L258+อ่างทอง!L258</f>
        <v>0</v>
      </c>
      <c r="M258" s="49"/>
      <c r="N258" s="49">
        <f ca="1">กาญจนบุรี!N258+จันทบุรี!N258+ฉะเชิงเทรา!N258+ชลบุรี!N258+ชัยนาท!N258+ตราด!N258+นครนายก!N258+นครปฐม!N258+ปทุมธานี!N258+ประจวบคีรีขันธ์!N258+ปราจีนบุรี!N258+พระนครศรีอยุธยา!N258+เพชรบุรี!N258+ระยอง!N258+ราชบุรี!N258+ลพบุรี!N258+สระแก้ว!N258+สระบุรี!N258+สิงห์บุรี!N258+สุพรรณบุรี!N258+อ่างทอง!N258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ญจนบุรี!J261+จันทบุรี!J261+ฉะเชิงเทรา!J261+ชลบุรี!J261+ชัยนาท!J261+ตราด!J261+นครนายก!J261+นครปฐม!J261+ปทุมธานี!J261+ประจวบคีรีขันธ์!J261+ปราจีนบุรี!J261+พระนครศรีอยุธยา!J261+เพชรบุรี!J261+ระยอง!J261+ราชบุรี!J261+ลพบุรี!J261+สระแก้ว!J261+สระบุรี!J261+สิงห์บุรี!J261+สุพรรณบุรี!J261+อ่างทอง!J261</f>
        <v>9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9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8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9</v>
      </c>
      <c r="J264" s="189">
        <f ca="1"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9</v>
      </c>
      <c r="K264" s="163">
        <f t="shared" ref="K264:K267" ca="1" si="4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195</v>
      </c>
      <c r="J265" s="189">
        <f ca="1"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195</v>
      </c>
      <c r="K265" s="163">
        <f t="shared" ca="1" si="4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195</v>
      </c>
      <c r="J266" s="189">
        <f ca="1"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0</v>
      </c>
      <c r="K266" s="163">
        <f t="shared" ca="1" si="4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9</v>
      </c>
      <c r="J267" s="189">
        <f ca="1"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7</v>
      </c>
      <c r="K267" s="163">
        <f t="shared" ca="1" si="42"/>
        <v>77.777777777777771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กาญจนบุรี!J269+จันทบุรี!J269+ฉะเชิงเทรา!J269+ชลบุรี!J269+ชัยนาท!J269+ตราด!J269+นครนายก!J269+นครปฐม!J269+ปทุมธานี!J269+ประจวบคีรีขันธ์!J269+ปราจีนบุรี!J269+พระนครศรีอยุธยา!J269+เพชรบุรี!J269+ระยอง!J269+ราชบุรี!J269+ลพบุรี!J269+สระแก้ว!J269+สระบุรี!J269+สิงห์บุรี!J269+สุพรรณบุรี!J269+อ่างทอง!J269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205</v>
      </c>
      <c r="J270" s="316">
        <f ca="1"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205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ca="1">กาญจนบุรี!L271+จันทบุรี!L271+ฉะเชิงเทรา!L271+ชลบุรี!L271+ชัยนาท!L271+ตราด!L271+นครนายก!L271+นครปฐม!L271+ปทุมธานี!L271+ประจวบคีรีขันธ์!L271+ปราจีนบุรี!L271+พระนครศรีอยุธยา!L271+เพชรบุรี!L271+ระยอง!L271+ราชบุรี!L271+ลพบุรี!L271+สระแก้ว!L271+สระบุรี!L271+สิงห์บุรี!L271+สุพรรณบุรี!L271+อ่างทอง!L271</f>
        <v>1266900</v>
      </c>
      <c r="M271" s="152">
        <f ca="1">กาญจนบุรี!M271+จันทบุรี!M271+ฉะเชิงเทรา!M271+ชลบุรี!M271+ชัยนาท!M271+ตราด!M271+นครนายก!M271+นครปฐม!M271+ปทุมธานี!M271+ประจวบคีรีขันธ์!M271+ปราจีนบุรี!M271+พระนครศรีอยุธยา!M271+เพชรบุรี!M271+ระยอง!M271+ราชบุรี!M271+ลพบุรี!M271+สระแก้ว!M271+สระบุรี!M271+สิงห์บุรี!M271+สุพรรณบุรี!M271+อ่างทอง!M271</f>
        <v>935650</v>
      </c>
      <c r="N271" s="152">
        <f ca="1">กาญจนบุรี!N271+จันทบุรี!N271+ฉะเชิงเทรา!N271+ชลบุรี!N271+ชัยนาท!N271+ตราด!N271+นครนายก!N271+นครปฐม!N271+ปทุมธานี!N271+ประจวบคีรีขันธ์!N271+ปราจีนบุรี!N271+พระนครศรีอยุธยา!N271+เพชรบุรี!N271+ระยอง!N271+ราชบุรี!N271+ลพบุรี!N271+สระแก้ว!N271+สระบุรี!N271+สิงห์บุรี!N271+สุพรรณบุรี!N271+อ่างทอง!N271</f>
        <v>577097.37</v>
      </c>
      <c r="O271" s="151">
        <f t="shared" ref="O271:O273" ca="1" si="43">IF(L271&gt;0,N271*100/L271,0)</f>
        <v>45.551927539663744</v>
      </c>
      <c r="P271" s="151">
        <f t="shared" ref="P271:P273" ca="1" si="44">IF(M271&gt;0,N271*100/M271,0)</f>
        <v>61.678765564046387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ญจนบุรี!L272+จันทบุรี!L272+ฉะเชิงเทรา!L272+ชลบุรี!L272+ชัยนาท!L272+ตราด!L272+นครนายก!L272+นครปฐม!L272+ปทุมธานี!L272+ประจวบคีรีขันธ์!L272+ปราจีนบุรี!L272+พระนครศรีอยุธยา!L272+เพชรบุรี!L272+ระยอง!L272+ราชบุรี!L272+ลพบุรี!L272+สระแก้ว!L272+สระบุรี!L272+สิงห์บุรี!L272+สุพรรณบุรี!L272+อ่างทอง!L272</f>
        <v>0</v>
      </c>
      <c r="M272" s="157">
        <f>กาญจนบุรี!M272+จันทบุรี!M272+ฉะเชิงเทรา!M272+ชลบุรี!M272+ชัยนาท!M272+ตราด!M272+นครนายก!M272+นครปฐม!M272+ปทุมธานี!M272+ประจวบคีรีขันธ์!M272+ปราจีนบุรี!M272+พระนครศรีอยุธยา!M272+เพชรบุรี!M272+ระยอง!M272+ราชบุรี!M272+ลพบุรี!M272+สระแก้ว!M272+สระบุรี!M272+สิงห์บุรี!M272+สุพรรณบุรี!M272+อ่างทอง!M272</f>
        <v>0</v>
      </c>
      <c r="N272" s="157">
        <f>กาญจนบุรี!N272+จันทบุรี!N272+ฉะเชิงเทรา!N272+ชลบุรี!N272+ชัยนาท!N272+ตราด!N272+นครนายก!N272+นครปฐม!N272+ปทุมธานี!N272+ประจวบคีรีขันธ์!N272+ปราจีนบุรี!N272+พระนครศรีอยุธยา!N272+เพชรบุรี!N272+ระยอง!N272+ราชบุรี!N272+ลพบุรี!N272+สระแก้ว!N272+สระบุรี!N272+สิงห์บุรี!N272+สุพรรณบุรี!N272+อ่างทอง!N272</f>
        <v>0</v>
      </c>
      <c r="O272" s="156">
        <f t="shared" si="43"/>
        <v>0</v>
      </c>
      <c r="P272" s="156">
        <f t="shared" si="44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ญจนบุรี!L273+จันทบุรี!L273+ฉะเชิงเทรา!L273+ชลบุรี!L273+ชัยนาท!L273+ตราด!L273+นครนายก!L273+นครปฐม!L273+ปทุมธานี!L273+ประจวบคีรีขันธ์!L273+ปราจีนบุรี!L273+พระนครศรีอยุธยา!L273+เพชรบุรี!L273+ระยอง!L273+ราชบุรี!L273+ลพบุรี!L273+สระแก้ว!L273+สระบุรี!L273+สิงห์บุรี!L273+สุพรรณบุรี!L273+อ่างทอง!L273</f>
        <v>1266900</v>
      </c>
      <c r="M273" s="157">
        <f ca="1">กาญจนบุรี!M273+จันทบุรี!M273+ฉะเชิงเทรา!M273+ชลบุรี!M273+ชัยนาท!M273+ตราด!M273+นครนายก!M273+นครปฐม!M273+ปทุมธานี!M273+ประจวบคีรีขันธ์!M273+ปราจีนบุรี!M273+พระนครศรีอยุธยา!M273+เพชรบุรี!M273+ระยอง!M273+ราชบุรี!M273+ลพบุรี!M273+สระแก้ว!M273+สระบุรี!M273+สิงห์บุรี!M273+สุพรรณบุรี!M273+อ่างทอง!M273</f>
        <v>935650</v>
      </c>
      <c r="N273" s="157">
        <f ca="1">กาญจนบุรี!N273+จันทบุรี!N273+ฉะเชิงเทรา!N273+ชลบุรี!N273+ชัยนาท!N273+ตราด!N273+นครนายก!N273+นครปฐม!N273+ปทุมธานี!N273+ประจวบคีรีขันธ์!N273+ปราจีนบุรี!N273+พระนครศรีอยุธยา!N273+เพชรบุรี!N273+ระยอง!N273+ราชบุรี!N273+ลพบุรี!N273+สระแก้ว!N273+สระบุรี!N273+สิงห์บุรี!N273+สุพรรณบุรี!N273+อ่างทอง!N273</f>
        <v>577097.37</v>
      </c>
      <c r="O273" s="156">
        <f t="shared" ca="1" si="43"/>
        <v>45.551927539663744</v>
      </c>
      <c r="P273" s="156">
        <f t="shared" ca="1" si="44"/>
        <v>61.678765564046387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ญจนบุรี!L274+จันทบุรี!L274+ฉะเชิงเทรา!L274+ชลบุรี!L274+ชัยนาท!L274+ตราด!L274+นครนายก!L274+นครปฐม!L274+ปทุมธานี!L274+ประจวบคีรีขันธ์!L274+ปราจีนบุรี!L274+พระนครศรีอยุธยา!L274+เพชรบุรี!L274+ระยอง!L274+ราชบุรี!L274+ลพบุรี!L274+สระแก้ว!L274+สระบุรี!L274+สิงห์บุรี!L274+สุพรรณบุรี!L274+อ่างทอง!L274</f>
        <v>0</v>
      </c>
      <c r="M274" s="164">
        <f>กาญจนบุรี!M274+จันทบุรี!M274+ฉะเชิงเทรา!M274+ชลบุรี!M274+ชัยนาท!M274+ตราด!M274+นครนายก!M274+นครปฐม!M274+ปทุมธานี!M274+ประจวบคีรีขันธ์!M274+ปราจีนบุรี!M274+พระนครศรีอยุธยา!M274+เพชรบุรี!M274+ระยอง!M274+ราชบุรี!M274+ลพบุรี!M274+สระแก้ว!M274+สระบุรี!M274+สิงห์บุรี!M274+สุพรรณบุรี!M274+อ่างทอง!M274</f>
        <v>0</v>
      </c>
      <c r="N274" s="164">
        <f>กาญจนบุรี!N274+จันทบุรี!N274+ฉะเชิงเทรา!N274+ชลบุรี!N274+ชัยนาท!N274+ตราด!N274+นครนายก!N274+นครปฐม!N274+ปทุมธานี!N274+ประจวบคีรีขันธ์!N274+ปราจีนบุรี!N274+พระนครศรีอยุธยา!N274+เพชรบุรี!N274+ระยอง!N274+ราชบุรี!N274+ลพบุรี!N274+สระแก้ว!N274+สระบุรี!N274+สิงห์บุรี!N274+สุพรรณบุรี!N274+อ่างทอง!N274</f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1266900</v>
      </c>
      <c r="M275" s="168">
        <f ca="1"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935650</v>
      </c>
      <c r="N275" s="169">
        <f ca="1">กาญจนบุรี!N275+จันทบุรี!N275+ฉะเชิงเทรา!N275+ชลบุรี!N275+ชัยนาท!N275+ตราด!N275+นครนายก!N275+นครปฐม!N275+ปทุมธานี!N275+ประจวบคีรีขันธ์!N275+ปราจีนบุรี!N275+พระนครศรีอยุธยา!N275+เพชรบุรี!N275+ระยอง!N275+ราชบุรี!N275+ลพบุรี!N275+สระแก้ว!N275+สระบุรี!N275+สิงห์บุรี!N275+สุพรรณบุรี!N275+อ่างทอง!N275</f>
        <v>577097.37</v>
      </c>
      <c r="O275" s="169">
        <f ca="1">IF(L275&gt;0,N275*100/L275,0)</f>
        <v>45.551927539663744</v>
      </c>
      <c r="P275" s="169">
        <f ca="1">IF(M275&gt;0,N275*100/M275,0)</f>
        <v>61.678765564046387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ญจนบุรี!L276+จันทบุรี!L276+ฉะเชิงเทรา!L276+ชลบุรี!L276+ชัยนาท!L276+ตราด!L276+นครนายก!L276+นครปฐม!L276+ปทุมธานี!L276+ประจวบคีรีขันธ์!L276+ปราจีนบุรี!L276+พระนครศรีอยุธยา!L276+เพชรบุรี!L276+ระยอง!L276+ราชบุรี!L276+ลพบุรี!L276+สระแก้ว!L276+สระบุรี!L276+สิงห์บุรี!L276+สุพรรณบุรี!L276+อ่างทอง!L276</f>
        <v>132000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1134900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49"/>
      <c r="N279" s="49">
        <f ca="1">กาญจนบุรี!N279+จันทบุรี!N279+ฉะเชิงเทรา!N279+ชลบุรี!N279+ชัยนาท!N279+ตราด!N279+นครนายก!N279+นครปฐม!N279+ปทุมธานี!N279+ประจวบคีรีขันธ์!N279+ปราจีนบุรี!N279+พระนครศรีอยุธยา!N279+เพชรบุรี!N279+ระยอง!N279+ราชบุรี!N279+ลพบุรี!N279+สระแก้ว!N279+สระบุรี!N279+สิงห์บุรี!N279+สุพรรณบุรี!N279+อ่างทอง!N279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ญจนบุรี!J281+จันทบุรี!J281+ฉะเชิงเทรา!J281+ชลบุรี!J281+ชัยนาท!J281+ตราด!J281+นครนายก!J281+นครปฐม!J281+ปทุมธานี!J281+ประจวบคีรีขันธ์!J281+ปราจีนบุรี!J281+พระนครศรีอยุธยา!J281+เพชรบุรี!J281+ระยอง!J281+ราชบุรี!J281+ลพบุรี!J281+สระแก้ว!J281+สระบุรี!J281+สิงห์บุรี!J281+สุพรรณบุรี!J281+อ่างทอง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ญจนบุรี!J282+จันทบุรี!J282+ฉะเชิงเทรา!J282+ชลบุรี!J282+ชัยนาท!J282+ตราด!J282+นครนายก!J282+นครปฐม!J282+ปทุมธานี!J282+ประจวบคีรีขันธ์!J282+ปราจีนบุรี!J282+พระนครศรีอยุธยา!J282+เพชรบุรี!J282+ระยอง!J282+ราชบุรี!J282+ลพบุรี!J282+สระแก้ว!J282+สระบุรี!J282+สิงห์บุรี!J282+สุพรรณบุรี!J282+อ่างทอง!J282</f>
        <v>13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ญจนบุรี!J283+จันทบุรี!J283+ฉะเชิงเทรา!J283+ชลบุรี!J283+ชัยนาท!J283+ตราด!J283+นครนายก!J283+นครปฐม!J283+ปทุมธานี!J283+ประจวบคีรีขันธ์!J283+ปราจีนบุรี!J283+พระนครศรีอยุธยา!J283+เพชรบุรี!J283+ระยอง!J283+ราชบุรี!J283+ลพบุรี!J283+สระแก้ว!J283+สระบุรี!J283+สิงห์บุรี!J283+สุพรรณบุรี!J283+อ่างทอง!J283</f>
        <v>13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ญจนบุรี!J284+จันทบุรี!J284+ฉะเชิงเทรา!J284+ชลบุรี!J284+ชัยนาท!J284+ตราด!J284+นครนายก!J284+นครปฐม!J284+ปทุมธานี!J284+ประจวบคีรีขันธ์!J284+ปราจีนบุรี!J284+พระนครศรีอยุธยา!J284+เพชรบุรี!J284+ระยอง!J284+ราชบุรี!J284+ลพบุรี!J284+สระแก้ว!J284+สระบุรี!J284+สิงห์บุรี!J284+สุพรรณบุรี!J284+อ่างทอง!J284</f>
        <v>13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ญจนบุรี!I285+จันทบุรี!I285+ฉะเชิงเทรา!I285+ชลบุรี!I285+ชัยนาท!I285+ตราด!I285+นครนายก!I285+นครปฐม!I285+ปทุมธานี!I285+ประจวบคีรีขันธ์!I285+ปราจีนบุรี!I285+พระนครศรีอยุธยา!I285+เพชรบุรี!I285+ระยอง!I285+ราชบุรี!I285+ลพบุรี!I285+สระแก้ว!I285+สระบุรี!I285+สิงห์บุรี!I285+สุพรรณบุรี!I285+อ่างทอง!I285</f>
        <v>205</v>
      </c>
      <c r="J285" s="189">
        <f ca="1">กาญจนบุรี!J285+จันทบุรี!J285+ฉะเชิงเทรา!J285+ชลบุรี!J285+ชัยนาท!J285+ตราด!J285+นครนายก!J285+นครปฐม!J285+ปทุมธานี!J285+ประจวบคีรีขันธ์!J285+ปราจีนบุรี!J285+พระนครศรีอยุธยา!J285+เพชรบุรี!J285+ระยอง!J285+ราชบุรี!J285+ลพบุรี!J285+สระแก้ว!J285+สระบุรี!J285+สิงห์บุรี!J285+สุพรรณบุรี!J285+อ่างทอง!J285</f>
        <v>205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าญจนบุรี!I289+จันทบุรี!I289+ฉะเชิงเทรา!I289+ชลบุรี!I289+ชัยนาท!I289+ตราด!I289+นครนายก!I289+นครปฐม!I289+ปทุมธานี!I289+ประจวบคีรีขันธ์!I289+ปราจีนบุรี!I289+พระนครศรีอยุธยา!I289+เพชรบุรี!I289+ระยอง!I289+ราชบุรี!I289+ลพบุรี!I289+สระแก้ว!I289+สระบุรี!I289+สิงห์บุรี!I289+สุพรรณบุรี!I289+อ่างทอง!I289</f>
        <v>100</v>
      </c>
      <c r="J289" s="316">
        <f ca="1"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100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ca="1">กาญจนบุรี!L290+จันทบุรี!L290+ฉะเชิงเทรา!L290+ชลบุรี!L290+ชัยนาท!L290+ตราด!L290+นครนายก!L290+นครปฐม!L290+ปทุมธานี!L290+ประจวบคีรีขันธ์!L290+ปราจีนบุรี!L290+พระนครศรีอยุธยา!L290+เพชรบุรี!L290+ระยอง!L290+ราชบุรี!L290+ลพบุรี!L290+สระแก้ว!L290+สระบุรี!L290+สิงห์บุรี!L290+สุพรรณบุรี!L290+อ่างทอง!L290</f>
        <v>437820</v>
      </c>
      <c r="M290" s="152">
        <f ca="1">กาญจนบุรี!M290+จันทบุรี!M290+ฉะเชิงเทรา!M290+ชลบุรี!M290+ชัยนาท!M290+ตราด!M290+นครนายก!M290+นครปฐม!M290+ปทุมธานี!M290+ประจวบคีรีขันธ์!M290+ปราจีนบุรี!M290+พระนครศรีอยุธยา!M290+เพชรบุรี!M290+ระยอง!M290+ราชบุรี!M290+ลพบุรี!M290+สระแก้ว!M290+สระบุรี!M290+สิงห์บุรี!M290+สุพรรณบุรี!M290+อ่างทอง!M290</f>
        <v>437820</v>
      </c>
      <c r="N290" s="152">
        <f ca="1">กาญจนบุรี!N290+จันทบุรี!N290+ฉะเชิงเทรา!N290+ชลบุรี!N290+ชัยนาท!N290+ตราด!N290+นครนายก!N290+นครปฐม!N290+ปทุมธานี!N290+ประจวบคีรีขันธ์!N290+ปราจีนบุรี!N290+พระนครศรีอยุธยา!N290+เพชรบุรี!N290+ระยอง!N290+ราชบุรี!N290+ลพบุรี!N290+สระแก้ว!N290+สระบุรี!N290+สิงห์บุรี!N290+สุพรรณบุรี!N290+อ่างทอง!N290</f>
        <v>267470</v>
      </c>
      <c r="O290" s="151">
        <f t="shared" ref="O290:O292" ca="1" si="45">IF(L290&gt;0,N290*100/L290,0)</f>
        <v>61.091316065963184</v>
      </c>
      <c r="P290" s="151">
        <f t="shared" ref="P290:P292" ca="1" si="46">IF(M290&gt;0,N290*100/M290,0)</f>
        <v>61.091316065963184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>กาญจนบุรี!L291+จันทบุรี!L291+ฉะเชิงเทรา!L291+ชลบุรี!L291+ชัยนาท!L291+ตราด!L291+นครนายก!L291+นครปฐม!L291+ปทุมธานี!L291+ประจวบคีรีขันธ์!L291+ปราจีนบุรี!L291+พระนครศรีอยุธยา!L291+เพชรบุรี!L291+ระยอง!L291+ราชบุรี!L291+ลพบุรี!L291+สระแก้ว!L291+สระบุรี!L291+สิงห์บุรี!L291+สุพรรณบุรี!L291+อ่างทอง!L291</f>
        <v>0</v>
      </c>
      <c r="M291" s="157">
        <f>กาญจนบุรี!M291+จันทบุรี!M291+ฉะเชิงเทรา!M291+ชลบุรี!M291+ชัยนาท!M291+ตราด!M291+นครนายก!M291+นครปฐม!M291+ปทุมธานี!M291+ประจวบคีรีขันธ์!M291+ปราจีนบุรี!M291+พระนครศรีอยุธยา!M291+เพชรบุรี!M291+ระยอง!M291+ราชบุรี!M291+ลพบุรี!M291+สระแก้ว!M291+สระบุรี!M291+สิงห์บุรี!M291+สุพรรณบุรี!M291+อ่างทอง!M291</f>
        <v>0</v>
      </c>
      <c r="N291" s="157">
        <f>กาญจนบุรี!N291+จันทบุรี!N291+ฉะเชิงเทรา!N291+ชลบุรี!N291+ชัยนาท!N291+ตราด!N291+นครนายก!N291+นครปฐม!N291+ปทุมธานี!N291+ประจวบคีรีขันธ์!N291+ปราจีนบุรี!N291+พระนครศรีอยุธยา!N291+เพชรบุรี!N291+ระยอง!N291+ราชบุรี!N291+ลพบุรี!N291+สระแก้ว!N291+สระบุรี!N291+สิงห์บุรี!N291+สุพรรณบุรี!N291+อ่างทอง!N291</f>
        <v>0</v>
      </c>
      <c r="O291" s="156">
        <f t="shared" si="45"/>
        <v>0</v>
      </c>
      <c r="P291" s="156">
        <f t="shared" si="46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ca="1">กาญจนบุรี!L292+จันทบุรี!L292+ฉะเชิงเทรา!L292+ชลบุรี!L292+ชัยนาท!L292+ตราด!L292+นครนายก!L292+นครปฐม!L292+ปทุมธานี!L292+ประจวบคีรีขันธ์!L292+ปราจีนบุรี!L292+พระนครศรีอยุธยา!L292+เพชรบุรี!L292+ระยอง!L292+ราชบุรี!L292+ลพบุรี!L292+สระแก้ว!L292+สระบุรี!L292+สิงห์บุรี!L292+สุพรรณบุรี!L292+อ่างทอง!L292</f>
        <v>437820</v>
      </c>
      <c r="M292" s="157">
        <f ca="1">กาญจนบุรี!M292+จันทบุรี!M292+ฉะเชิงเทรา!M292+ชลบุรี!M292+ชัยนาท!M292+ตราด!M292+นครนายก!M292+นครปฐม!M292+ปทุมธานี!M292+ประจวบคีรีขันธ์!M292+ปราจีนบุรี!M292+พระนครศรีอยุธยา!M292+เพชรบุรี!M292+ระยอง!M292+ราชบุรี!M292+ลพบุรี!M292+สระแก้ว!M292+สระบุรี!M292+สิงห์บุรี!M292+สุพรรณบุรี!M292+อ่างทอง!M292</f>
        <v>437820</v>
      </c>
      <c r="N292" s="157">
        <f ca="1">กาญจนบุรี!N292+จันทบุรี!N292+ฉะเชิงเทรา!N292+ชลบุรี!N292+ชัยนาท!N292+ตราด!N292+นครนายก!N292+นครปฐม!N292+ปทุมธานี!N292+ประจวบคีรีขันธ์!N292+ปราจีนบุรี!N292+พระนครศรีอยุธยา!N292+เพชรบุรี!N292+ระยอง!N292+ราชบุรี!N292+ลพบุรี!N292+สระแก้ว!N292+สระบุรี!N292+สิงห์บุรี!N292+สุพรรณบุรี!N292+อ่างทอง!N292</f>
        <v>267470</v>
      </c>
      <c r="O292" s="156">
        <f t="shared" ca="1" si="45"/>
        <v>61.091316065963184</v>
      </c>
      <c r="P292" s="156">
        <f t="shared" ca="1" si="46"/>
        <v>61.091316065963184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f>กาญจนบุรี!L293+จันทบุรี!L293+ฉะเชิงเทรา!L293+ชลบุรี!L293+ชัยนาท!L293+ตราด!L293+นครนายก!L293+นครปฐม!L293+ปทุมธานี!L293+ประจวบคีรีขันธ์!L293+ปราจีนบุรี!L293+พระนครศรีอยุธยา!L293+เพชรบุรี!L293+ระยอง!L293+ราชบุรี!L293+ลพบุรี!L293+สระแก้ว!L293+สระบุรี!L293+สิงห์บุรี!L293+สุพรรณบุรี!L293+อ่างทอง!L293</f>
        <v>0</v>
      </c>
      <c r="M293" s="164">
        <f>กาญจนบุรี!M293+จันทบุรี!M293+ฉะเชิงเทรา!M293+ชลบุรี!M293+ชัยนาท!M293+ตราด!M293+นครนายก!M293+นครปฐม!M293+ปทุมธานี!M293+ประจวบคีรีขันธ์!M293+ปราจีนบุรี!M293+พระนครศรีอยุธยา!M293+เพชรบุรี!M293+ระยอง!M293+ราชบุรี!M293+ลพบุรี!M293+สระแก้ว!M293+สระบุรี!M293+สิงห์บุรี!M293+สุพรรณบุรี!M293+อ่างทอง!M293</f>
        <v>0</v>
      </c>
      <c r="N293" s="164">
        <f>กาญจนบุรี!N293+จันทบุรี!N293+ฉะเชิงเทรา!N293+ชลบุรี!N293+ชัยนาท!N293+ตราด!N293+นครนายก!N293+นครปฐม!N293+ปทุมธานี!N293+ประจวบคีรีขันธ์!N293+ปราจีนบุรี!N293+พระนครศรีอยุธยา!N293+เพชรบุรี!N293+ระยอง!N293+ราชบุรี!N293+ลพบุรี!N293+สระแก้ว!N293+สระบุรี!N293+สิงห์บุรี!N293+สุพรรณบุรี!N293+อ่างทอง!N293</f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กาญจนบุรี!L294+จันทบุรี!L294+ฉะเชิงเทรา!L294+ชลบุรี!L294+ชัยนาท!L294+ตราด!L294+นครนายก!L294+นครปฐม!L294+ปทุมธานี!L294+ประจวบคีรีขันธ์!L294+ปราจีนบุรี!L294+พระนครศรีอยุธยา!L294+เพชรบุรี!L294+ระยอง!L294+ราชบุรี!L294+ลพบุรี!L294+สระแก้ว!L294+สระบุรี!L294+สิงห์บุรี!L294+สุพรรณบุรี!L294+อ่างทอง!L294</f>
        <v>315320</v>
      </c>
      <c r="M294" s="168">
        <f ca="1">กาญจนบุรี!M294+จันทบุรี!M294+ฉะเชิงเทรา!M294+ชลบุรี!M294+ชัยนาท!M294+ตราด!M294+นครนายก!M294+นครปฐม!M294+ปทุมธานี!M294+ประจวบคีรีขันธ์!M294+ปราจีนบุรี!M294+พระนครศรีอยุธยา!M294+เพชรบุรี!M294+ระยอง!M294+ราชบุรี!M294+ลพบุรี!M294+สระแก้ว!M294+สระบุรี!M294+สิงห์บุรี!M294+สุพรรณบุรี!M294+อ่างทอง!M294</f>
        <v>315320</v>
      </c>
      <c r="N294" s="169">
        <f ca="1">กาญจนบุรี!N294+จันทบุรี!N294+ฉะเชิงเทรา!N294+ชลบุรี!N294+ชัยนาท!N294+ตราด!N294+นครนายก!N294+นครปฐม!N294+ปทุมธานี!N294+ประจวบคีรีขันธ์!N294+ปราจีนบุรี!N294+พระนครศรีอยุธยา!N294+เพชรบุรี!N294+ระยอง!N294+ราชบุรี!N294+ลพบุรี!N294+สระแก้ว!N294+สระบุรี!N294+สิงห์บุรี!N294+สุพรรณบุรี!N294+อ่างทอง!N294</f>
        <v>144970</v>
      </c>
      <c r="O294" s="169">
        <f ca="1">IF(L294&gt;0,N294*100/L294,0)</f>
        <v>45.975516935176962</v>
      </c>
      <c r="P294" s="169">
        <f ca="1">IF(M294&gt;0,N294*100/M294,0)</f>
        <v>45.975516935176962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กาญจนบุรี!L295+จันทบุรี!L295+ฉะเชิงเทรา!L295+ชลบุรี!L295+ชัยนาท!L295+ตราด!L295+นครนายก!L295+นครปฐม!L295+ปทุมธานี!L295+ประจวบคีรีขันธ์!L295+ปราจีนบุรี!L295+พระนครศรีอยุธยา!L295+เพชรบุรี!L295+ระยอง!L295+ราชบุรี!L295+ลพบุรี!L295+สระแก้ว!L295+สระบุรี!L295+สิงห์บุรี!L295+สุพรรณบุรี!L295+อ่างทอง!L295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315320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f>กาญจนบุรี!L297+จันทบุรี!L297+ฉะเชิงเทรา!L297+ชลบุรี!L297+ชัยนาท!L297+ตราด!L297+นครนายก!L297+นครปฐม!L297+ปทุมธานี!L297+ประจวบคีรีขันธ์!L297+ปราจีนบุรี!L297+พระนครศรีอยุธยา!L297+เพชรบุรี!L297+ระยอง!L297+ราชบุรี!L297+ลพบุรี!L297+สระแก้ว!L297+สระบุรี!L297+สิงห์บุรี!L297+สุพรรณบุรี!L297+อ่างทอง!L297</f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122500</v>
      </c>
      <c r="M298" s="49">
        <f ca="1"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122500</v>
      </c>
      <c r="N298" s="49">
        <f ca="1">กาญจนบุรี!N298+จันทบุรี!N298+ฉะเชิงเทรา!N298+ชลบุรี!N298+ชัยนาท!N298+ตราด!N298+นครนายก!N298+นครปฐม!N298+ปทุมธานี!N298+ประจวบคีรีขันธ์!N298+ปราจีนบุรี!N298+พระนครศรีอยุธยา!N298+เพชรบุรี!N298+ระยอง!N298+ราชบุรี!N298+ลพบุรี!N298+สระแก้ว!N298+สระบุรี!N298+สิงห์บุรี!N298+สุพรรณบุรี!N298+อ่างทอง!N298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ญจนบุรี!J300+จันทบุรี!J300+ฉะเชิงเทรา!J300+ชลบุรี!J300+ชัยนาท!J300+ตราด!J300+นครนายก!J300+นครปฐม!J300+ปทุมธานี!J300+ประจวบคีรีขันธ์!J300+ปราจีนบุรี!J300+พระนครศรีอยุธยา!J300+เพชรบุรี!J300+ระยอง!J300+ราชบุรี!J300+ลพบุรี!J300+สระแก้ว!J300+สระบุรี!J300+สิงห์บุรี!J300+สุพรรณบุรี!J300+อ่างทอง!J300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ญจนบุรี!J301+จันทบุรี!J301+ฉะเชิงเทรา!J301+ชลบุรี!J301+ชัยนาท!J301+ตราด!J301+นครนายก!J301+นครปฐม!J301+ปทุมธานี!J301+ประจวบคีรีขันธ์!J301+ปราจีนบุรี!J301+พระนครศรีอยุธยา!J301+เพชรบุรี!J301+ระยอง!J301+ราชบุรี!J301+ลพบุรี!J301+สระแก้ว!J301+สระบุรี!J301+สิงห์บุรี!J301+สุพรรณบุรี!J301+อ่างทอง!J301</f>
        <v>3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ญจนบุรี!J302+จันทบุรี!J302+ฉะเชิงเทรา!J302+ชลบุรี!J302+ชัยนาท!J302+ตราด!J302+นครนายก!J302+นครปฐม!J302+ปทุมธานี!J302+ประจวบคีรีขันธ์!J302+ปราจีนบุรี!J302+พระนครศรีอยุธยา!J302+เพชรบุรี!J302+ระยอง!J302+ราชบุรี!J302+ลพบุรี!J302+สระแก้ว!J302+สระบุรี!J302+สิงห์บุรี!J302+สุพรรณบุรี!J302+อ่างทอง!J302</f>
        <v>3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ญจนบุรี!J303+จันทบุรี!J303+ฉะเชิงเทรา!J303+ชลบุรี!J303+ชัยนาท!J303+ตราด!J303+นครนายก!J303+นครปฐม!J303+ปทุมธานี!J303+ประจวบคีรีขันธ์!J303+ปราจีนบุรี!J303+พระนครศรีอยุธยา!J303+เพชรบุรี!J303+ระยอง!J303+ราชบุรี!J303+ลพบุรี!J303+สระแก้ว!J303+สระบุรี!J303+สิงห์บุรี!J303+สุพรรณบุรี!J303+อ่างทอง!J303</f>
        <v>3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ญจนบุรี!I304+จันทบุรี!I304+ฉะเชิงเทรา!I304+ชลบุรี!I304+ชัยนาท!I304+ตราด!I304+นครนายก!I304+นครปฐม!I304+ปทุมธานี!I304+ประจวบคีรีขันธ์!I304+ปราจีนบุรี!I304+พระนครศรีอยุธยา!I304+เพชรบุรี!I304+ระยอง!I304+ราชบุรี!I304+ลพบุรี!I304+สระแก้ว!I304+สระบุรี!I304+สิงห์บุรี!I304+สุพรรณบุรี!I304+อ่างทอง!I304</f>
        <v>100</v>
      </c>
      <c r="J304" s="204">
        <f ca="1">กาญจนบุรี!J304+จันทบุรี!J304+ฉะเชิงเทรา!J304+ชลบุรี!J304+ชัยนาท!J304+ตราด!J304+นครนายก!J304+นครปฐม!J304+ปทุมธานี!J304+ประจวบคีรีขันธ์!J304+ปราจีนบุรี!J304+พระนครศรีอยุธยา!J304+เพชรบุรี!J304+ระยอง!J304+ราชบุรี!J304+ลพบุรี!J304+สระแก้ว!J304+สระบุรี!J304+สิงห์บุรี!J304+สุพรรณบุรี!J304+อ่างทอง!J304</f>
        <v>100</v>
      </c>
      <c r="K304" s="224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ญจนบุรี!I306+จันทบุรี!I306+ฉะเชิงเทรา!I306+ชลบุรี!I306+ชัยนาท!I306+ตราด!I306+นครนายก!I306+นครปฐม!I306+ปทุมธานี!I306+ประจวบคีรีขันธ์!I306+ปราจีนบุรี!I306+พระนครศรีอยุธยา!I306+เพชรบุรี!I306+ระยอง!I306+ราชบุรี!I306+ลพบุรี!I306+สระแก้ว!I306+สระบุรี!I306+สิงห์บุรี!I306+สุพรรณบุรี!I306+อ่างทอง!I306</f>
        <v>100</v>
      </c>
      <c r="J306" s="204">
        <f ca="1">กาญจนบุรี!J306+จันทบุรี!J306+ฉะเชิงเทรา!J306+ชลบุรี!J306+ชัยนาท!J306+ตราด!J306+นครนายก!J306+นครปฐม!J306+ปทุมธานี!J306+ประจวบคีรีขันธ์!J306+ปราจีนบุรี!J306+พระนครศรีอยุธยา!J306+เพชรบุรี!J306+ระยอง!J306+ราชบุรี!J306+ลพบุรี!J306+สระแก้ว!J306+สระบุรี!J306+สิงห์บุรี!J306+สุพรรณบุรี!J306+อ่างทอง!J306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าญจนบุรี!I309+จันทบุรี!I309+ฉะเชิงเทรา!I309+ชลบุรี!I309+ชัยนาท!I309+ตราด!I309+นครนายก!I309+นครปฐม!I309+ปทุมธานี!I309+ประจวบคีรีขันธ์!I309+ปราจีนบุรี!I309+พระนครศรีอยุธยา!I309+เพชรบุรี!I309+ระยอง!I309+ราชบุรี!I309+ลพบุรี!I309+สระแก้ว!I309+สระบุรี!I309+สิงห์บุรี!I309+สุพรรณบุรี!I309+อ่างทอง!I309</f>
        <v>15</v>
      </c>
      <c r="J309" s="333">
        <f ca="1"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8</v>
      </c>
      <c r="K309" s="334">
        <f ca="1">IF(I309&gt;0,J309*100/I309,0)</f>
        <v>53.333333333333336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ca="1">กาญจนบุรี!L310+จันทบุรี!L310+ฉะเชิงเทรา!L310+ชลบุรี!L310+ชัยนาท!L310+ตราด!L310+นครนายก!L310+นครปฐม!L310+ปทุมธานี!L310+ประจวบคีรีขันธ์!L310+ปราจีนบุรี!L310+พระนครศรีอยุธยา!L310+เพชรบุรี!L310+ระยอง!L310+ราชบุรี!L310+ลพบุรี!L310+สระแก้ว!L310+สระบุรี!L310+สิงห์บุรี!L310+สุพรรณบุรี!L310+อ่างทอง!L310</f>
        <v>1019800</v>
      </c>
      <c r="M310" s="152">
        <f ca="1">กาญจนบุรี!M310+จันทบุรี!M310+ฉะเชิงเทรา!M310+ชลบุรี!M310+ชัยนาท!M310+ตราด!M310+นครนายก!M310+นครปฐม!M310+ปทุมธานี!M310+ประจวบคีรีขันธ์!M310+ปราจีนบุรี!M310+พระนครศรีอยุธยา!M310+เพชรบุรี!M310+ระยอง!M310+ราชบุรี!M310+ลพบุรี!M310+สระแก้ว!M310+สระบุรี!M310+สิงห์บุรี!M310+สุพรรณบุรี!M310+อ่างทอง!M310</f>
        <v>764900</v>
      </c>
      <c r="N310" s="152">
        <f ca="1">กาญจนบุรี!N310+จันทบุรี!N310+ฉะเชิงเทรา!N310+ชลบุรี!N310+ชัยนาท!N310+ตราด!N310+นครนายก!N310+นครปฐม!N310+ปทุมธานี!N310+ประจวบคีรีขันธ์!N310+ปราจีนบุรี!N310+พระนครศรีอยุธยา!N310+เพชรบุรี!N310+ระยอง!N310+ราชบุรี!N310+ลพบุรี!N310+สระแก้ว!N310+สระบุรี!N310+สิงห์บุรี!N310+สุพรรณบุรี!N310+อ่างทอง!N310</f>
        <v>299054</v>
      </c>
      <c r="O310" s="151">
        <f t="shared" ref="O310:O312" ca="1" si="47">IF(L310&gt;0,N310*100/L310,0)</f>
        <v>29.324769562659345</v>
      </c>
      <c r="P310" s="151">
        <f t="shared" ref="P310:P312" ca="1" si="48">IF(M310&gt;0,N310*100/M310,0)</f>
        <v>39.09713688063799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>กาญจนบุรี!L311+จันทบุรี!L311+ฉะเชิงเทรา!L311+ชลบุรี!L311+ชัยนาท!L311+ตราด!L311+นครนายก!L311+นครปฐม!L311+ปทุมธานี!L311+ประจวบคีรีขันธ์!L311+ปราจีนบุรี!L311+พระนครศรีอยุธยา!L311+เพชรบุรี!L311+ระยอง!L311+ราชบุรี!L311+ลพบุรี!L311+สระแก้ว!L311+สระบุรี!L311+สิงห์บุรี!L311+สุพรรณบุรี!L311+อ่างทอง!L311</f>
        <v>0</v>
      </c>
      <c r="M311" s="157">
        <f>กาญจนบุรี!M311+จันทบุรี!M311+ฉะเชิงเทรา!M311+ชลบุรี!M311+ชัยนาท!M311+ตราด!M311+นครนายก!M311+นครปฐม!M311+ปทุมธานี!M311+ประจวบคีรีขันธ์!M311+ปราจีนบุรี!M311+พระนครศรีอยุธยา!M311+เพชรบุรี!M311+ระยอง!M311+ราชบุรี!M311+ลพบุรี!M311+สระแก้ว!M311+สระบุรี!M311+สิงห์บุรี!M311+สุพรรณบุรี!M311+อ่างทอง!M311</f>
        <v>0</v>
      </c>
      <c r="N311" s="157">
        <f>กาญจนบุรี!N311+จันทบุรี!N311+ฉะเชิงเทรา!N311+ชลบุรี!N311+ชัยนาท!N311+ตราด!N311+นครนายก!N311+นครปฐม!N311+ปทุมธานี!N311+ประจวบคีรีขันธ์!N311+ปราจีนบุรี!N311+พระนครศรีอยุธยา!N311+เพชรบุรี!N311+ระยอง!N311+ราชบุรี!N311+ลพบุรี!N311+สระแก้ว!N311+สระบุรี!N311+สิงห์บุรี!N311+สุพรรณบุรี!N311+อ่างทอง!N311</f>
        <v>0</v>
      </c>
      <c r="O311" s="156">
        <f t="shared" si="47"/>
        <v>0</v>
      </c>
      <c r="P311" s="156">
        <f t="shared" si="48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ca="1">กาญจนบุรี!L312+จันทบุรี!L312+ฉะเชิงเทรา!L312+ชลบุรี!L312+ชัยนาท!L312+ตราด!L312+นครนายก!L312+นครปฐม!L312+ปทุมธานี!L312+ประจวบคีรีขันธ์!L312+ปราจีนบุรี!L312+พระนครศรีอยุธยา!L312+เพชรบุรี!L312+ระยอง!L312+ราชบุรี!L312+ลพบุรี!L312+สระแก้ว!L312+สระบุรี!L312+สิงห์บุรี!L312+สุพรรณบุรี!L312+อ่างทอง!L312</f>
        <v>1019800</v>
      </c>
      <c r="M312" s="157">
        <f ca="1">กาญจนบุรี!M312+จันทบุรี!M312+ฉะเชิงเทรา!M312+ชลบุรี!M312+ชัยนาท!M312+ตราด!M312+นครนายก!M312+นครปฐม!M312+ปทุมธานี!M312+ประจวบคีรีขันธ์!M312+ปราจีนบุรี!M312+พระนครศรีอยุธยา!M312+เพชรบุรี!M312+ระยอง!M312+ราชบุรี!M312+ลพบุรี!M312+สระแก้ว!M312+สระบุรี!M312+สิงห์บุรี!M312+สุพรรณบุรี!M312+อ่างทอง!M312</f>
        <v>764900</v>
      </c>
      <c r="N312" s="157">
        <f ca="1">กาญจนบุรี!N312+จันทบุรี!N312+ฉะเชิงเทรา!N312+ชลบุรี!N312+ชัยนาท!N312+ตราด!N312+นครนายก!N312+นครปฐม!N312+ปทุมธานี!N312+ประจวบคีรีขันธ์!N312+ปราจีนบุรี!N312+พระนครศรีอยุธยา!N312+เพชรบุรี!N312+ระยอง!N312+ราชบุรี!N312+ลพบุรี!N312+สระแก้ว!N312+สระบุรี!N312+สิงห์บุรี!N312+สุพรรณบุรี!N312+อ่างทอง!N312</f>
        <v>299054</v>
      </c>
      <c r="O312" s="156">
        <f t="shared" ca="1" si="47"/>
        <v>29.324769562659345</v>
      </c>
      <c r="P312" s="156">
        <f t="shared" ca="1" si="48"/>
        <v>39.09713688063799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ญจนบุรี!L313+จันทบุรี!L313+ฉะเชิงเทรา!L313+ชลบุรี!L313+ชัยนาท!L313+ตราด!L313+นครนายก!L313+นครปฐม!L313+ปทุมธานี!L313+ประจวบคีรีขันธ์!L313+ปราจีนบุรี!L313+พระนครศรีอยุธยา!L313+เพชรบุรี!L313+ระยอง!L313+ราชบุรี!L313+ลพบุรี!L313+สระแก้ว!L313+สระบุรี!L313+สิงห์บุรี!L313+สุพรรณบุรี!L313+อ่างทอง!L313</f>
        <v>0</v>
      </c>
      <c r="M313" s="164">
        <f>กาญจนบุรี!M313+จันทบุรี!M313+ฉะเชิงเทรา!M313+ชลบุรี!M313+ชัยนาท!M313+ตราด!M313+นครนายก!M313+นครปฐม!M313+ปทุมธานี!M313+ประจวบคีรีขันธ์!M313+ปราจีนบุรี!M313+พระนครศรีอยุธยา!M313+เพชรบุรี!M313+ระยอง!M313+ราชบุรี!M313+ลพบุรี!M313+สระแก้ว!M313+สระบุรี!M313+สิงห์บุรี!M313+สุพรรณบุรี!M313+อ่างทอง!M313</f>
        <v>0</v>
      </c>
      <c r="N313" s="164">
        <f>กาญจนบุรี!N313+จันทบุรี!N313+ฉะเชิงเทรา!N313+ชลบุรี!N313+ชัยนาท!N313+ตราด!N313+นครนายก!N313+นครปฐม!N313+ปทุมธานี!N313+ประจวบคีรีขันธ์!N313+ปราจีนบุรี!N313+พระนครศรีอยุธยา!N313+เพชรบุรี!N313+ระยอง!N313+ราชบุรี!N313+ลพบุรี!N313+สระแก้ว!N313+สระบุรี!N313+สิงห์บุรี!N313+สุพรรณบุรี!N313+อ่างทอง!N313</f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ญจนบุรี!L314+จันทบุรี!L314+ฉะเชิงเทรา!L314+ชลบุรี!L314+ชัยนาท!L314+ตราด!L314+นครนายก!L314+นครปฐม!L314+ปทุมธานี!L314+ประจวบคีรีขันธ์!L314+ปราจีนบุรี!L314+พระนครศรีอยุธยา!L314+เพชรบุรี!L314+ระยอง!L314+ราชบุรี!L314+ลพบุรี!L314+สระแก้ว!L314+สระบุรี!L314+สิงห์บุรี!L314+สุพรรณบุรี!L314+อ่างทอง!L314</f>
        <v>1019800</v>
      </c>
      <c r="M314" s="168">
        <f ca="1">กาญจนบุรี!M314+จันทบุรี!M314+ฉะเชิงเทรา!M314+ชลบุรี!M314+ชัยนาท!M314+ตราด!M314+นครนายก!M314+นครปฐม!M314+ปทุมธานี!M314+ประจวบคีรีขันธ์!M314+ปราจีนบุรี!M314+พระนครศรีอยุธยา!M314+เพชรบุรี!M314+ระยอง!M314+ราชบุรี!M314+ลพบุรี!M314+สระแก้ว!M314+สระบุรี!M314+สิงห์บุรี!M314+สุพรรณบุรี!M314+อ่างทอง!M314</f>
        <v>764900</v>
      </c>
      <c r="N314" s="169">
        <f ca="1">กาญจนบุรี!N314+จันทบุรี!N314+ฉะเชิงเทรา!N314+ชลบุรี!N314+ชัยนาท!N314+ตราด!N314+นครนายก!N314+นครปฐม!N314+ปทุมธานี!N314+ประจวบคีรีขันธ์!N314+ปราจีนบุรี!N314+พระนครศรีอยุธยา!N314+เพชรบุรี!N314+ระยอง!N314+ราชบุรี!N314+ลพบุรี!N314+สระแก้ว!N314+สระบุรี!N314+สิงห์บุรี!N314+สุพรรณบุรี!N314+อ่างทอง!N314</f>
        <v>299054</v>
      </c>
      <c r="O314" s="169">
        <f ca="1">IF(L314&gt;0,N314*100/L314,0)</f>
        <v>29.324769562659345</v>
      </c>
      <c r="P314" s="169">
        <f ca="1">IF(M314&gt;0,N314*100/M314,0)</f>
        <v>39.09713688063799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ญจนบุรี!L315+จันทบุรี!L315+ฉะเชิงเทรา!L315+ชลบุรี!L315+ชัยนาท!L315+ตราด!L315+นครนายก!L315+นครปฐม!L315+ปทุมธานี!L315+ประจวบคีรีขันธ์!L315+ปราจีนบุรี!L315+พระนครศรีอยุธยา!L315+เพชรบุรี!L315+ระยอง!L315+ราชบุรี!L315+ลพบุรี!L315+สระแก้ว!L315+สระบุรี!L315+สิงห์บุรี!L315+สุพรรณบุรี!L315+อ่างทอง!L315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กาญจนบุรี!L316+จันทบุรี!L316+ฉะเชิงเทรา!L316+ชลบุรี!L316+ชัยนาท!L316+ตราด!L316+นครนายก!L316+นครปฐม!L316+ปทุมธานี!L316+ประจวบคีรีขันธ์!L316+ปราจีนบุรี!L316+พระนครศรีอยุธยา!L316+เพชรบุรี!L316+ระยอง!L316+ราชบุรี!L316+ลพบุรี!L316+สระแก้ว!L316+สระบุรี!L316+สิงห์บุรี!L316+สุพรรณบุรี!L316+อ่างทอง!L316</f>
        <v>1019800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f>กาญจนบุรี!L317+จันทบุรี!L317+ฉะเชิงเทรา!L317+ชลบุรี!L317+ชัยนาท!L317+ตราด!L317+นครนายก!L317+นครปฐม!L317+ปทุมธานี!L317+ประจวบคีรีขันธ์!L317+ปราจีนบุรี!L317+พระนครศรีอยุธยา!L317+เพชรบุรี!L317+ระยอง!L317+ราชบุรี!L317+ลพบุรี!L317+สระแก้ว!L317+สระบุรี!L317+สิงห์บุรี!L317+สุพรรณบุรี!L317+อ่างทอง!L317</f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กาญจนบุรี!L318+จันทบุรี!L318+ฉะเชิงเทรา!L318+ชลบุรี!L318+ชัยนาท!L318+ตราด!L318+นครนายก!L318+นครปฐม!L318+ปทุมธานี!L318+ประจวบคีรีขันธ์!L318+ปราจีนบุรี!L318+พระนครศรีอยุธยา!L318+เพชรบุรี!L318+ระยอง!L318+ราชบุรี!L318+ลพบุรี!L318+สระแก้ว!L318+สระบุรี!L318+สิงห์บุรี!L318+สุพรรณบุรี!L318+อ่างทอง!L318</f>
        <v>0</v>
      </c>
      <c r="M318" s="49"/>
      <c r="N318" s="49">
        <f ca="1">กาญจนบุรี!N318+จันทบุรี!N318+ฉะเชิงเทรา!N318+ชลบุรี!N318+ชัยนาท!N318+ตราด!N318+นครนายก!N318+นครปฐม!N318+ปทุมธานี!N318+ประจวบคีรีขันธ์!N318+ปราจีนบุรี!N318+พระนครศรีอยุธยา!N318+เพชรบุรี!N318+ระยอง!N318+ราชบุรี!N318+ลพบุรี!N318+สระแก้ว!N318+สระบุรี!N318+สิงห์บุรี!N318+สุพรรณบุรี!N318+อ่างทอง!N318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3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1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1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15</v>
      </c>
      <c r="J324" s="204">
        <f ca="1"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8</v>
      </c>
      <c r="K324" s="224">
        <f ca="1">IF(I324&gt;0,J324*100/I324,0)</f>
        <v>53.333333333333336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าญจนบุรี!I328+จันทบุรี!I328+ฉะเชิงเทรา!I328+ชลบุรี!I328+ชัยนาท!I328+ตราด!I328+นครนายก!I328+นครปฐม!I328+ปทุมธานี!I328+ประจวบคีรีขันธ์!I328+ปราจีนบุรี!I328+พระนครศรีอยุธยา!I328+เพชรบุรี!I328+ระยอง!I328+ราชบุรี!I328+ลพบุรี!I328+สระแก้ว!I328+สระบุรี!I328+สิงห์บุรี!I328+สุพรรณบุรี!I328+อ่างทอง!I328</f>
        <v>2742</v>
      </c>
      <c r="J328" s="339">
        <f ca="1"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1410</v>
      </c>
      <c r="K328" s="317">
        <f ca="1">IF(I328&gt;0,J328*100/I328,0)</f>
        <v>51.422319474835888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ca="1">กาญจนบุรี!L329+จันทบุรี!L329+ฉะเชิงเทรา!L329+ชลบุรี!L329+ชัยนาท!L329+ตราด!L329+นครนายก!L329+นครปฐม!L329+ปทุมธานี!L329+ประจวบคีรีขันธ์!L329+ปราจีนบุรี!L329+พระนครศรีอยุธยา!L329+เพชรบุรี!L329+ระยอง!L329+ราชบุรี!L329+ลพบุรี!L329+สระแก้ว!L329+สระบุรี!L329+สิงห์บุรี!L329+สุพรรณบุรี!L329+อ่างทอง!L329</f>
        <v>17373590</v>
      </c>
      <c r="M329" s="152">
        <f ca="1">กาญจนบุรี!M329+จันทบุรี!M329+ฉะเชิงเทรา!M329+ชลบุรี!M329+ชัยนาท!M329+ตราด!M329+นครนายก!M329+นครปฐม!M329+ปทุมธานี!M329+ประจวบคีรีขันธ์!M329+ปราจีนบุรี!M329+พระนครศรีอยุธยา!M329+เพชรบุรี!M329+ระยอง!M329+ราชบุรี!M329+ลพบุรี!M329+สระแก้ว!M329+สระบุรี!M329+สิงห์บุรี!M329+สุพรรณบุรี!M329+อ่างทอง!M329</f>
        <v>12974630</v>
      </c>
      <c r="N329" s="152">
        <f ca="1">กาญจนบุรี!N329+จันทบุรี!N329+ฉะเชิงเทรา!N329+ชลบุรี!N329+ชัยนาท!N329+ตราด!N329+นครนายก!N329+นครปฐม!N329+ปทุมธานี!N329+ประจวบคีรีขันธ์!N329+ปราจีนบุรี!N329+พระนครศรีอยุธยา!N329+เพชรบุรี!N329+ระยอง!N329+ราชบุรี!N329+ลพบุรี!N329+สระแก้ว!N329+สระบุรี!N329+สิงห์บุรี!N329+สุพรรณบุรี!N329+อ่างทอง!N329</f>
        <v>8687600.6799999997</v>
      </c>
      <c r="O329" s="151">
        <f t="shared" ref="O329:O331" ca="1" si="49">IF(L329&gt;0,N329*100/L329,0)</f>
        <v>50.004637383522919</v>
      </c>
      <c r="P329" s="151">
        <f t="shared" ref="P329:P331" ca="1" si="50">IF(M329&gt;0,N329*100/M329,0)</f>
        <v>66.958369371612136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0</v>
      </c>
      <c r="M330" s="157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0</v>
      </c>
      <c r="N330" s="157">
        <f>กาญจนบุรี!N330+จันทบุรี!N330+ฉะเชิงเทรา!N330+ชลบุรี!N330+ชัยนาท!N330+ตราด!N330+นครนายก!N330+นครปฐม!N330+ปทุมธานี!N330+ประจวบคีรีขันธ์!N330+ปราจีนบุรี!N330+พระนครศรีอยุธยา!N330+เพชรบุรี!N330+ระยอง!N330+ราชบุรี!N330+ลพบุรี!N330+สระแก้ว!N330+สระบุรี!N330+สิงห์บุรี!N330+สุพรรณบุรี!N330+อ่างทอง!N330</f>
        <v>0</v>
      </c>
      <c r="O330" s="156">
        <f t="shared" si="49"/>
        <v>0</v>
      </c>
      <c r="P330" s="156">
        <f t="shared" si="5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17373590</v>
      </c>
      <c r="M331" s="157">
        <f ca="1"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12974630</v>
      </c>
      <c r="N331" s="157">
        <f ca="1">กาญจนบุรี!N331+จันทบุรี!N331+ฉะเชิงเทรา!N331+ชลบุรี!N331+ชัยนาท!N331+ตราด!N331+นครนายก!N331+นครปฐม!N331+ปทุมธานี!N331+ประจวบคีรีขันธ์!N331+ปราจีนบุรี!N331+พระนครศรีอยุธยา!N331+เพชรบุรี!N331+ระยอง!N331+ราชบุรี!N331+ลพบุรี!N331+สระแก้ว!N331+สระบุรี!N331+สิงห์บุรี!N331+สุพรรณบุรี!N331+อ่างทอง!N331</f>
        <v>8687600.6799999997</v>
      </c>
      <c r="O331" s="156">
        <f t="shared" ca="1" si="49"/>
        <v>50.004637383522919</v>
      </c>
      <c r="P331" s="156">
        <f t="shared" ca="1" si="50"/>
        <v>66.958369371612136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0</v>
      </c>
      <c r="M332" s="164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0</v>
      </c>
      <c r="N332" s="164">
        <f>กาญจนบุรี!N332+จันทบุรี!N332+ฉะเชิงเทรา!N332+ชลบุรี!N332+ชัยนาท!N332+ตราด!N332+นครนายก!N332+นครปฐม!N332+ปทุมธานี!N332+ประจวบคีรีขันธ์!N332+ปราจีนบุรี!N332+พระนครศรีอยุธยา!N332+เพชรบุรี!N332+ระยอง!N332+ราชบุรี!N332+ลพบุรี!N332+สระแก้ว!N332+สระบุรี!N332+สิงห์บุรี!N332+สุพรรณบุรี!N332+อ่างทอง!N332</f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16165540</v>
      </c>
      <c r="M333" s="168">
        <f ca="1"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11766580</v>
      </c>
      <c r="N333" s="169">
        <f ca="1">กาญจนบุรี!N333+จันทบุรี!N333+ฉะเชิงเทรา!N333+ชลบุรี!N333+ชัยนาท!N333+ตราด!N333+นครนายก!N333+นครปฐม!N333+ปทุมธานี!N333+ประจวบคีรีขันธ์!N333+ปราจีนบุรี!N333+พระนครศรีอยุธยา!N333+เพชรบุรี!N333+ระยอง!N333+ราชบุรี!N333+ลพบุรี!N333+สระแก้ว!N333+สระบุรี!N333+สิงห์บุรี!N333+สุพรรณบุรี!N333+อ่างทอง!N333</f>
        <v>7479550.6800000006</v>
      </c>
      <c r="O333" s="169">
        <f ca="1">IF(L333&gt;0,N333*100/L333,0)</f>
        <v>46.268486422352737</v>
      </c>
      <c r="P333" s="169">
        <f ca="1">IF(M333&gt;0,N333*100/M333,0)</f>
        <v>63.566054707485108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9640300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ญจนบุรี!L335+จันทบุรี!L335+ฉะเชิงเทรา!L335+ชลบุรี!L335+ชัยนาท!L335+ตราด!L335+นครนายก!L335+นครปฐม!L335+ปทุมธานี!L335+ประจวบคีรีขันธ์!L335+ปราจีนบุรี!L335+พระนครศรีอยุธยา!L335+เพชรบุรี!L335+ระยอง!L335+ราชบุรี!L335+ลพบุรี!L335+สระแก้ว!L335+สระบุรี!L335+สิงห์บุรี!L335+สุพรรณบุรี!L335+อ่างทอง!L335</f>
        <v>6525240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ญจนบุรี!L336+จันทบุรี!L336+ฉะเชิงเทรา!L336+ชลบุรี!L336+ชัยนาท!L336+ตราด!L336+นครนายก!L336+นครปฐม!L336+ปทุมธานี!L336+ประจวบคีรีขันธ์!L336+ปราจีนบุรี!L336+พระนครศรีอยุธยา!L336+เพชรบุรี!L336+ระยอง!L336+ราชบุรี!L336+ลพบุรี!L336+สระแก้ว!L336+สระบุรี!L336+สิงห์บุรี!L336+สุพรรณบุรี!L336+อ่างทอง!L336</f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ญจนบุรี!L337+จันทบุรี!L337+ฉะเชิงเทรา!L337+ชลบุรี!L337+ชัยนาท!L337+ตราด!L337+นครนายก!L337+นครปฐม!L337+ปทุมธานี!L337+ประจวบคีรีขันธ์!L337+ปราจีนบุรี!L337+พระนครศรีอยุธยา!L337+เพชรบุรี!L337+ระยอง!L337+ราชบุรี!L337+ลพบุรี!L337+สระแก้ว!L337+สระบุรี!L337+สิงห์บุรี!L337+สุพรรณบุรี!L337+อ่างทอง!L337</f>
        <v>1208050</v>
      </c>
      <c r="M337" s="49">
        <f ca="1"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1208050</v>
      </c>
      <c r="N337" s="49">
        <f ca="1">กาญจนบุรี!N337+จันทบุรี!N337+ฉะเชิงเทรา!N337+ชลบุรี!N337+ชัยนาท!N337+ตราด!N337+นครนายก!N337+นครปฐม!N337+ปทุมธานี!N337+ประจวบคีรีขันธ์!N337+ปราจีนบุรี!N337+พระนครศรีอยุธยา!N337+เพชรบุรี!N337+ระยอง!N337+ราชบุรี!N337+ลพบุรี!N337+สระแก้ว!N337+สระบุรี!N337+สิงห์บุรี!N337+สุพรรณบุรี!N337+อ่างทอง!N337</f>
        <v>1208050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กาญจนบุรี!I339+จันทบุรี!I339+ฉะเชิงเทรา!I339+ชลบุรี!I339+ชัยนาท!I339+ตราด!I339+นครนายก!I339+นครปฐม!I339+ปทุมธานี!I339+ประจวบคีรีขันธ์!I339+ปราจีนบุรี!I339+พระนครศรีอยุธยา!I339+เพชรบุรี!I339+ระยอง!I339+ราชบุรี!I339+ลพบุรี!I339+สระแก้ว!I339+สระบุรี!I339+สิงห์บุรี!I339+สุพรรณบุรี!I339+อ่างทอง!I339</f>
        <v>0</v>
      </c>
      <c r="J339" s="188">
        <f ca="1">กาญจนบุรี!J339+จันทบุรี!J339+ฉะเชิงเทรา!J339+ชลบุรี!J339+ชัยนาท!J339+ตราด!J339+นครนายก!J339+นครปฐม!J339+ปทุมธานี!J339+ประจวบคีรีขันธ์!J339+ปราจีนบุรี!J339+พระนครศรีอยุธยา!J339+เพชรบุรี!J339+ระยอง!J339+ราชบุรี!J339+ลพบุรี!J339+สระแก้ว!J339+สระบุรี!J339+สิงห์บุรี!J339+สุพรรณบุรี!J339+อ่างทอง!J339</f>
        <v>1571</v>
      </c>
      <c r="K339" s="342">
        <f t="shared" ref="K339:K346" ca="1" si="51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กาญจนบุรี!I340+จันทบุรี!I340+ฉะเชิงเทรา!I340+ชลบุรี!I340+ชัยนาท!I340+ตราด!I340+นครนายก!I340+นครปฐม!I340+ปทุมธานี!I340+ประจวบคีรีขันธ์!I340+ปราจีนบุรี!I340+พระนครศรีอยุธยา!I340+เพชรบุรี!I340+ระยอง!I340+ราชบุรี!I340+ลพบุรี!I340+สระแก้ว!I340+สระบุรี!I340+สิงห์บุรี!I340+สุพรรณบุรี!I340+อ่างทอง!I340</f>
        <v>31359</v>
      </c>
      <c r="J340" s="188">
        <f ca="1"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17667.999999999985</v>
      </c>
      <c r="K340" s="342">
        <f t="shared" ca="1" si="51"/>
        <v>56.341082304920391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ญจนบุรี!I341+จันทบุรี!I341+ฉะเชิงเทรา!I341+ชลบุรี!I341+ชัยนาท!I341+ตราด!I341+นครนายก!I341+นครปฐม!I341+ปทุมธานี!I341+ประจวบคีรีขันธ์!I341+ปราจีนบุรี!I341+พระนครศรีอยุธยา!I341+เพชรบุรี!I341+ระยอง!I341+ราชบุรี!I341+ลพบุรี!I341+สระแก้ว!I341+สระบุรี!I341+สิงห์บุรี!I341+สุพรรณบุรี!I341+อ่างทอง!I341</f>
        <v>2742</v>
      </c>
      <c r="J341" s="188">
        <f ca="1"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1789</v>
      </c>
      <c r="K341" s="342">
        <f t="shared" ca="1" si="51"/>
        <v>65.244347191830784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กาญจนบุรี!I342+จันทบุรี!I342+ฉะเชิงเทรา!I342+ชลบุรี!I342+ชัยนาท!I342+ตราด!I342+นครนายก!I342+นครปฐม!I342+ปทุมธานี!I342+ประจวบคีรีขันธ์!I342+ปราจีนบุรี!I342+พระนครศรีอยุธยา!I342+เพชรบุรี!I342+ระยอง!I342+ราชบุรี!I342+ลพบุรี!I342+สระแก้ว!I342+สระบุรี!I342+สิงห์บุรี!I342+สุพรรณบุรี!I342+อ่างทอง!I342</f>
        <v>0</v>
      </c>
      <c r="J342" s="188">
        <f ca="1"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24190.319999999985</v>
      </c>
      <c r="K342" s="342">
        <f t="shared" ca="1" si="51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ญจนบุรี!I343+จันทบุรี!I343+ฉะเชิงเทรา!I343+ชลบุรี!I343+ชัยนาท!I343+ตราด!I343+นครนายก!I343+นครปฐม!I343+ปทุมธานี!I343+ประจวบคีรีขันธ์!I343+ปราจีนบุรี!I343+พระนครศรีอยุธยา!I343+เพชรบุรี!I343+ระยอง!I343+ราชบุรี!I343+ลพบุรี!I343+สระแก้ว!I343+สระบุรี!I343+สิงห์บุรี!I343+สุพรรณบุรี!I343+อ่างทอง!I343</f>
        <v>2742</v>
      </c>
      <c r="J343" s="188">
        <f ca="1"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35</v>
      </c>
      <c r="K343" s="342">
        <f t="shared" ca="1" si="51"/>
        <v>1.2764405543398978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0</v>
      </c>
      <c r="J344" s="188">
        <f ca="1"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425.6</v>
      </c>
      <c r="K344" s="342">
        <f t="shared" ca="1" si="51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2742</v>
      </c>
      <c r="J345" s="188">
        <f ca="1"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1410</v>
      </c>
      <c r="K345" s="342">
        <f t="shared" ca="1" si="51"/>
        <v>51.422319474835888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0</v>
      </c>
      <c r="J346" s="188">
        <f ca="1"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19687.549999999988</v>
      </c>
      <c r="K346" s="351">
        <f t="shared" ca="1" si="51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ญจนบุรี!L347+จันทบุรี!L347+ฉะเชิงเทรา!L347+ชลบุรี!L347+ชัยนาท!L347+ตราด!L347+นครนายก!L347+นครปฐม!L347+ปทุมธานี!L347+ประจวบคีรีขันธ์!L347+ปราจีนบุรี!L347+พระนครศรีอยุธยา!L347+เพชรบุรี!L347+ระยอง!L347+ราชบุรี!L347+ลพบุรี!L347+สระแก้ว!L347+สระบุรี!L347+สิงห์บุรี!L347+สุพรรณบุรี!L347+อ่างทอง!L347</f>
        <v>27692718</v>
      </c>
      <c r="M347" s="358"/>
      <c r="N347" s="358">
        <f ca="1">กาญจนบุรี!N347+จันทบุรี!N347+ฉะเชิงเทรา!N347+ชลบุรี!N347+ชัยนาท!N347+ตราด!N347+นครนายก!N347+นครปฐม!N347+ปทุมธานี!N347+ประจวบคีรีขันธ์!N347+ปราจีนบุรี!N347+พระนครศรีอยุธยา!N347+เพชรบุรี!N347+ระยอง!N347+ราชบุรี!N347+ลพบุรี!N347+สระแก้ว!N347+สระบุรี!N347+สิงห์บุรี!N347+สุพรรณบุรี!N347+อ่างทอง!N347</f>
        <v>10570624.529999997</v>
      </c>
      <c r="O347" s="358">
        <f ca="1">+IF(L347&gt;0,N347*100/L347,0)</f>
        <v>38.171134122696074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ญจนบุรี!I349+จันทบุรี!I349+ฉะเชิงเทรา!I349+ชลบุรี!I349+ชัยนาท!I349+ตราด!I349+นครนายก!I349+นครปฐม!I349+ปทุมธานี!I349+ประจวบคีรีขันธ์!I349+ปราจีนบุรี!I349+พระนครศรีอยุธยา!I349+เพชรบุรี!I349+ระยอง!I349+ราชบุรี!I349+ลพบุรี!I349+สระแก้ว!I349+สระบุรี!I349+สิงห์บุรี!I349+สุพรรณบุรี!I349+อ่างทอง!I349</f>
        <v>634</v>
      </c>
      <c r="J349" s="371">
        <f ca="1"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187</v>
      </c>
      <c r="K349" s="372">
        <f t="shared" ref="K349:K350" ca="1" si="52">IF(I349&gt;0,J349*100/I349,0)</f>
        <v>29.495268138801261</v>
      </c>
      <c r="L349" s="373">
        <f ca="1">กาญจนบุรี!L349+จันทบุรี!L349+ฉะเชิงเทรา!L349+ชลบุรี!L349+ชัยนาท!L349+ตราด!L349+นครนายก!L349+นครปฐม!L349+ปทุมธานี!L349+ประจวบคีรีขันธ์!L349+ปราจีนบุรี!L349+พระนครศรีอยุธยา!L349+เพชรบุรี!L349+ระยอง!L349+ราชบุรี!L349+ลพบุรี!L349+สระแก้ว!L349+สระบุรี!L349+สิงห์บุรี!L349+สุพรรณบุรี!L349+อ่างทอง!L349</f>
        <v>2223740</v>
      </c>
      <c r="M349" s="373"/>
      <c r="N349" s="373">
        <f ca="1">กาญจนบุรี!N349+จันทบุรี!N349+ฉะเชิงเทรา!N349+ชลบุรี!N349+ชัยนาท!N349+ตราด!N349+นครนายก!N349+นครปฐม!N349+ปทุมธานี!N349+ประจวบคีรีขันธ์!N349+ปราจีนบุรี!N349+พระนครศรีอยุธยา!N349+เพชรบุรี!N349+ระยอง!N349+ราชบุรี!N349+ลพบุรี!N349+สระแก้ว!N349+สระบุรี!N349+สิงห์บุรี!N349+สุพรรณบุรี!N349+อ่างทอง!N349</f>
        <v>987206.929999999</v>
      </c>
      <c r="O349" s="373">
        <f ca="1">+IF(L349&gt;0,N349*100/L349,0)</f>
        <v>44.393990754314757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292</v>
      </c>
      <c r="J350" s="371">
        <f ca="1"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272</v>
      </c>
      <c r="K350" s="372">
        <f t="shared" ca="1" si="52"/>
        <v>93.150684931506845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164"/>
      <c r="N351" s="164">
        <f ca="1">กาญจนบุรี!N351+จันทบุรี!N351+ฉะเชิงเทรา!N351+ชลบุรี!N351+ชัยนาท!N351+ตราด!N351+นครนายก!N351+นครปฐม!N351+ปทุมธานี!N351+ประจวบคีรีขันธ์!N351+ปราจีนบุรี!N351+พระนครศรีอยุธยา!N351+เพชรบุรี!N351+ระยอง!N351+ราชบุรี!N351+ลพบุรี!N351+สระแก้ว!N351+สระบุรี!N351+สิงห์บุรี!N351+สุพรรณบุรี!N351+อ่างทอง!N351</f>
        <v>0</v>
      </c>
      <c r="O351" s="165">
        <f t="shared" ref="O351:O354" ca="1" si="53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2223740</v>
      </c>
      <c r="M352" s="165"/>
      <c r="N352" s="164">
        <f ca="1">กาญจนบุรี!N352+จันทบุรี!N352+ฉะเชิงเทรา!N352+ชลบุรี!N352+ชัยนาท!N352+ตราด!N352+นครนายก!N352+นครปฐม!N352+ปทุมธานี!N352+ประจวบคีรีขันธ์!N352+ปราจีนบุรี!N352+พระนครศรีอยุธยา!N352+เพชรบุรี!N352+ระยอง!N352+ราชบุรี!N352+ลพบุรี!N352+สระแก้ว!N352+สระบุรี!N352+สิงห์บุรี!N352+สุพรรณบุรี!N352+อ่างทอง!N352</f>
        <v>987206.929999999</v>
      </c>
      <c r="O352" s="165">
        <f t="shared" ca="1" si="53"/>
        <v>44.393990754314757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169"/>
      <c r="N353" s="169">
        <f ca="1">กาญจนบุรี!N353+จันทบุรี!N353+ฉะเชิงเทรา!N353+ชลบุรี!N353+ชัยนาท!N353+ตราด!N353+นครนายก!N353+นครปฐม!N353+ปทุมธานี!N353+ประจวบคีรีขันธ์!N353+ปราจีนบุรี!N353+พระนครศรีอยุธยา!N353+เพชรบุรี!N353+ระยอง!N353+ราชบุรี!N353+ลพบุรี!N353+สระแก้ว!N353+สระบุรี!N353+สิงห์บุรี!N353+สุพรรณบุรี!N353+อ่างทอง!N353</f>
        <v>0</v>
      </c>
      <c r="O353" s="169">
        <f t="shared" ca="1" si="53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2223740</v>
      </c>
      <c r="M354" s="169"/>
      <c r="N354" s="168">
        <f ca="1">กาญจนบุรี!N354+จันทบุรี!N354+ฉะเชิงเทรา!N354+ชลบุรี!N354+ชัยนาท!N354+ตราด!N354+นครนายก!N354+นครปฐม!N354+ปทุมธานี!N354+ประจวบคีรีขันธ์!N354+ปราจีนบุรี!N354+พระนครศรีอยุธยา!N354+เพชรบุรี!N354+ระยอง!N354+ราชบุรี!N354+ลพบุรี!N354+สระแก้ว!N354+สระบุรี!N354+สิงห์บุรี!N354+สุพรรณบุรี!N354+อ่างทอง!N354</f>
        <v>987206.929999999</v>
      </c>
      <c r="O354" s="169">
        <f t="shared" ca="1" si="53"/>
        <v>44.393990754314757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กาญจนบุรี!N355+จันทบุรี!N355+ฉะเชิงเทรา!N355+ชลบุรี!N355+ชัยนาท!N355+ตราด!N355+นครนายก!N355+นครปฐม!N355+ปทุมธานี!N355+ประจวบคีรีขันธ์!N355+ปราจีนบุรี!N355+พระนครศรีอยุธยา!N355+เพชรบุรี!N355+ระยอง!N355+ราชบุรี!N355+ลพบุรี!N355+สระแก้ว!N355+สระบุรี!N355+สิงห์บุรี!N355+สุพรรณบุรี!N355+อ่างทอง!N355</f>
        <v>337180.01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กาญจนบุรี!N356+จันทบุรี!N356+ฉะเชิงเทรา!N356+ชลบุรี!N356+ชัยนาท!N356+ตราด!N356+นครนายก!N356+นครปฐม!N356+ปทุมธานี!N356+ประจวบคีรีขันธ์!N356+ปราจีนบุรี!N356+พระนครศรีอยุธยา!N356+เพชรบุรี!N356+ระยอง!N356+ราชบุรี!N356+ลพบุรี!N356+สระแก้ว!N356+สระบุรี!N356+สิงห์บุรี!N356+สุพรรณบุรี!N356+อ่างทอง!N356</f>
        <v>217890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กาญจนบุรี!N357+จันทบุรี!N357+ฉะเชิงเทรา!N357+ชลบุรี!N357+ชัยนาท!N357+ตราด!N357+นครนายก!N357+นครปฐม!N357+ปทุมธานี!N357+ประจวบคีรีขันธ์!N357+ปราจีนบุรี!N357+พระนครศรีอยุธยา!N357+เพชรบุรี!N357+ระยอง!N357+ราชบุรี!N357+ลพบุรี!N357+สระแก้ว!N357+สระบุรี!N357+สิงห์บุรี!N357+สุพรรณบุรี!N357+อ่างทอง!N357</f>
        <v>318456.92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กาญจนบุรี!N358+จันทบุรี!N358+ฉะเชิงเทรา!N358+ชลบุรี!N358+ชัยนาท!N358+ตราด!N358+นครนายก!N358+นครปฐม!N358+ปทุมธานี!N358+ประจวบคีรีขันธ์!N358+ปราจีนบุรี!N358+พระนครศรีอยุธยา!N358+เพชรบุรี!N358+ระยอง!N358+ราชบุรี!N358+ลพบุรี!N358+สระแก้ว!N358+สระบุรี!N358+สิงห์บุรี!N358+สุพรรณบุรี!N358+อ่างทอง!N358</f>
        <v>113680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1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10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11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11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0</v>
      </c>
      <c r="K367" s="163">
        <f t="shared" ref="K367:K373" ca="1" si="54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292</v>
      </c>
      <c r="J368" s="188">
        <f ca="1"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272</v>
      </c>
      <c r="K368" s="163">
        <f t="shared" ca="1" si="54"/>
        <v>93.150684931506845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0</v>
      </c>
      <c r="J369" s="204">
        <f ca="1"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163">
        <f t="shared" ca="1" si="54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กาญจนบุรี!I370+จันทบุรี!I370+ฉะเชิงเทรา!I370+ชลบุรี!I370+ชัยนาท!I370+ตราด!I370+นครนายก!I370+นครปฐม!I370+ปทุมธานี!I370+ประจวบคีรีขันธ์!I370+ปราจีนบุรี!I370+พระนครศรีอยุธยา!I370+เพชรบุรี!I370+ระยอง!I370+ราชบุรี!I370+ลพบุรี!I370+สระแก้ว!I370+สระบุรี!I370+สิงห์บุรี!I370+สุพรรณบุรี!I370+อ่างทอง!I370</f>
        <v>292</v>
      </c>
      <c r="J370" s="204">
        <f ca="1"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236</v>
      </c>
      <c r="K370" s="163">
        <f t="shared" ca="1" si="54"/>
        <v>80.821917808219183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ญจนบุรี!I371+จันทบุรี!I371+ฉะเชิงเทรา!I371+ชลบุรี!I371+ชัยนาท!I371+ตราด!I371+นครนายก!I371+นครปฐม!I371+ปทุมธานี!I371+ประจวบคีรีขันธ์!I371+ปราจีนบุรี!I371+พระนครศรีอยุธยา!I371+เพชรบุรี!I371+ระยอง!I371+ราชบุรี!I371+ลพบุรี!I371+สระแก้ว!I371+สระบุรี!I371+สิงห์บุรี!I371+สุพรรณบุรี!I371+อ่างทอง!I371</f>
        <v>0</v>
      </c>
      <c r="J371" s="189">
        <f ca="1"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163">
        <f t="shared" ca="1" si="54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กาญจนบุรี!I372+จันทบุรี!I372+ฉะเชิงเทรา!I372+ชลบุรี!I372+ชัยนาท!I372+ตราด!I372+นครนายก!I372+นครปฐม!I372+ปทุมธานี!I372+ประจวบคีรีขันธ์!I372+ปราจีนบุรี!I372+พระนครศรีอยุธยา!I372+เพชรบุรี!I372+ระยอง!I372+ราชบุรี!I372+ลพบุรี!I372+สระแก้ว!I372+สระบุรี!I372+สิงห์บุรี!I372+สุพรรณบุรี!I372+อ่างทอง!I372</f>
        <v>292</v>
      </c>
      <c r="J372" s="189">
        <f ca="1"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207</v>
      </c>
      <c r="K372" s="163">
        <f t="shared" ca="1" si="54"/>
        <v>70.890410958904113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กาญจนบุรี!I373+จันทบุรี!I373+ฉะเชิงเทรา!I373+ชลบุรี!I373+ชัยนาท!I373+ตราด!I373+นครนายก!I373+นครปฐม!I373+ปทุมธานี!I373+ประจวบคีรีขันธ์!I373+ปราจีนบุรี!I373+พระนครศรีอยุธยา!I373+เพชรบุรี!I373+ระยอง!I373+ราชบุรี!I373+ลพบุรี!I373+สระแก้ว!I373+สระบุรี!I373+สิงห์บุรี!I373+สุพรรณบุรี!I373+อ่างทอง!I373</f>
        <v>0</v>
      </c>
      <c r="J373" s="204">
        <f ca="1"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163">
        <f t="shared" ca="1" si="54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ญจนบุรี!I374+จันทบุรี!I374+ฉะเชิงเทรา!I374+ชลบุรี!I374+ชัยนาท!I374+ตราด!I374+นครนายก!I374+นครปฐม!I374+ปทุมธานี!I374+ประจวบคีรีขันธ์!I374+ปราจีนบุรี!I374+พระนครศรีอยุธยา!I374+เพชรบุรี!I374+ระยอง!I374+ราชบุรี!I374+ลพบุรี!I374+สระแก้ว!I374+สระบุรี!I374+สิงห์บุรี!I374+สุพรรณบุรี!I374+อ่างทอง!I374</f>
        <v>0</v>
      </c>
      <c r="J374" s="188">
        <f ca="1"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กาญจนบุรี!I375+จันทบุรี!I375+ฉะเชิงเทรา!I375+ชลบุรี!I375+ชัยนาท!I375+ตราด!I375+นครนายก!I375+นครปฐม!I375+ปทุมธานี!I375+ประจวบคีรีขันธ์!I375+ปราจีนบุรี!I375+พระนครศรีอยุธยา!I375+เพชรบุรี!I375+ระยอง!I375+ราชบุรี!I375+ลพบุรี!I375+สระแก้ว!I375+สระบุรี!I375+สิงห์บุรี!I375+สุพรรณบุรี!I375+อ่างทอง!I375</f>
        <v>634</v>
      </c>
      <c r="J375" s="188">
        <f ca="1"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187</v>
      </c>
      <c r="K375" s="163">
        <f t="shared" ref="K375:K377" ca="1" si="55">IF(I375&gt;0,J375*100/I375,0)</f>
        <v>29.495268138801261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307</v>
      </c>
      <c r="J376" s="189">
        <f ca="1"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40</v>
      </c>
      <c r="K376" s="163">
        <f t="shared" ca="1" si="55"/>
        <v>13.029315960912053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327</v>
      </c>
      <c r="J377" s="204">
        <f ca="1"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147</v>
      </c>
      <c r="K377" s="163">
        <f t="shared" ca="1" si="55"/>
        <v>44.954128440366972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ญจนบุรี!I380+จันทบุรี!I380+ฉะเชิงเทรา!I380+ชลบุรี!I380+ชัยนาท!I380+ตราด!I380+นครนายก!I380+นครปฐม!I380+ปทุมธานี!I380+ประจวบคีรีขันธ์!I380+ปราจีนบุรี!I380+พระนครศรีอยุธยา!I380+เพชรบุรี!I380+ระยอง!I380+ราชบุรี!I380+ลพบุรี!I380+สระแก้ว!I380+สระบุรี!I380+สิงห์บุรี!I380+สุพรรณบุรี!I380+อ่างทอง!I380</f>
        <v>8800</v>
      </c>
      <c r="J380" s="371">
        <f ca="1"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1603.25</v>
      </c>
      <c r="K380" s="372">
        <f t="shared" ref="K380:K381" ca="1" si="56">IF(I380&gt;0,J380*100/I380,0)</f>
        <v>18.21875</v>
      </c>
      <c r="L380" s="373">
        <f ca="1">กาญจนบุรี!L380+จันทบุรี!L380+ฉะเชิงเทรา!L380+ชลบุรี!L380+ชัยนาท!L380+ตราด!L380+นครนายก!L380+นครปฐม!L380+ปทุมธานี!L380+ประจวบคีรีขันธ์!L380+ปราจีนบุรี!L380+พระนครศรีอยุธยา!L380+เพชรบุรี!L380+ระยอง!L380+ราชบุรี!L380+ลพบุรี!L380+สระแก้ว!L380+สระบุรี!L380+สิงห์บุรี!L380+สุพรรณบุรี!L380+อ่างทอง!L380</f>
        <v>8972320</v>
      </c>
      <c r="M380" s="373"/>
      <c r="N380" s="373">
        <f ca="1">กาญจนบุรี!N380+จันทบุรี!N380+ฉะเชิงเทรา!N380+ชลบุรี!N380+ชัยนาท!N380+ตราด!N380+นครนายก!N380+นครปฐม!N380+ปทุมธานี!N380+ประจวบคีรีขันธ์!N380+ปราจีนบุรี!N380+พระนครศรีอยุธยา!N380+เพชรบุรี!N380+ระยอง!N380+ราชบุรี!N380+ลพบุรี!N380+สระแก้ว!N380+สระบุรี!N380+สิงห์บุรี!N380+สุพรรณบุรี!N380+อ่างทอง!N380</f>
        <v>2862444.77</v>
      </c>
      <c r="O380" s="373">
        <f ca="1">+IF(L380&gt;0,N380*100/L380,0)</f>
        <v>31.903061527007509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ญจนบุรี!I381+จันทบุรี!I381+ฉะเชิงเทรา!I381+ชลบุรี!I381+ชัยนาท!I381+ตราด!I381+นครนายก!I381+นครปฐม!I381+ปทุมธานี!I381+ประจวบคีรีขันธ์!I381+ปราจีนบุรี!I381+พระนครศรีอยุธยา!I381+เพชรบุรี!I381+ระยอง!I381+ราชบุรี!I381+ลพบุรี!I381+สระแก้ว!I381+สระบุรี!I381+สิงห์บุรี!I381+สุพรรณบุรี!I381+อ่างทอง!I381</f>
        <v>880</v>
      </c>
      <c r="J381" s="371">
        <f ca="1"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886</v>
      </c>
      <c r="K381" s="372">
        <f t="shared" ca="1" si="56"/>
        <v>100.68181818181819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ญจนบุรี!L382+จันทบุรี!L382+ฉะเชิงเทรา!L382+ชลบุรี!L382+ชัยนาท!L382+ตราด!L382+นครนายก!L382+นครปฐม!L382+ปทุมธานี!L382+ประจวบคีรีขันธ์!L382+ปราจีนบุรี!L382+พระนครศรีอยุธยา!L382+เพชรบุรี!L382+ระยอง!L382+ราชบุรี!L382+ลพบุรี!L382+สระแก้ว!L382+สระบุรี!L382+สิงห์บุรี!L382+สุพรรณบุรี!L382+อ่างทอง!L382</f>
        <v>0</v>
      </c>
      <c r="M382" s="164"/>
      <c r="N382" s="164">
        <f ca="1">กาญจนบุรี!N382+จันทบุรี!N382+ฉะเชิงเทรา!N382+ชลบุรี!N382+ชัยนาท!N382+ตราด!N382+นครนายก!N382+นครปฐม!N382+ปทุมธานี!N382+ประจวบคีรีขันธ์!N382+ปราจีนบุรี!N382+พระนครศรีอยุธยา!N382+เพชรบุรี!N382+ระยอง!N382+ราชบุรี!N382+ลพบุรี!N382+สระแก้ว!N382+สระบุรี!N382+สิงห์บุรี!N382+สุพรรณบุรี!N382+อ่างทอง!N382</f>
        <v>0</v>
      </c>
      <c r="O382" s="165">
        <f t="shared" ref="O382:O385" ca="1" si="57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ญจนบุรี!L383+จันทบุรี!L383+ฉะเชิงเทรา!L383+ชลบุรี!L383+ชัยนาท!L383+ตราด!L383+นครนายก!L383+นครปฐม!L383+ปทุมธานี!L383+ประจวบคีรีขันธ์!L383+ปราจีนบุรี!L383+พระนครศรีอยุธยา!L383+เพชรบุรี!L383+ระยอง!L383+ราชบุรี!L383+ลพบุรี!L383+สระแก้ว!L383+สระบุรี!L383+สิงห์บุรี!L383+สุพรรณบุรี!L383+อ่างทอง!L383</f>
        <v>8972320</v>
      </c>
      <c r="M383" s="165"/>
      <c r="N383" s="165">
        <f ca="1">กาญจนบุรี!N383+จันทบุรี!N383+ฉะเชิงเทรา!N383+ชลบุรี!N383+ชัยนาท!N383+ตราด!N383+นครนายก!N383+นครปฐม!N383+ปทุมธานี!N383+ประจวบคีรีขันธ์!N383+ปราจีนบุรี!N383+พระนครศรีอยุธยา!N383+เพชรบุรี!N383+ระยอง!N383+ราชบุรี!N383+ลพบุรี!N383+สระแก้ว!N383+สระบุรี!N383+สิงห์บุรี!N383+สุพรรณบุรี!N383+อ่างทอง!N383</f>
        <v>2862444.77</v>
      </c>
      <c r="O383" s="165">
        <f t="shared" ca="1" si="57"/>
        <v>31.903061527007509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ญจนบุรี!L384+จันทบุรี!L384+ฉะเชิงเทรา!L384+ชลบุรี!L384+ชัยนาท!L384+ตราด!L384+นครนายก!L384+นครปฐม!L384+ปทุมธานี!L384+ประจวบคีรีขันธ์!L384+ปราจีนบุรี!L384+พระนครศรีอยุธยา!L384+เพชรบุรี!L384+ระยอง!L384+ราชบุรี!L384+ลพบุรี!L384+สระแก้ว!L384+สระบุรี!L384+สิงห์บุรี!L384+สุพรรณบุรี!L384+อ่างทอง!L384</f>
        <v>0</v>
      </c>
      <c r="M384" s="169"/>
      <c r="N384" s="169">
        <f ca="1">กาญจนบุรี!N384+จันทบุรี!N384+ฉะเชิงเทรา!N384+ชลบุรี!N384+ชัยนาท!N384+ตราด!N384+นครนายก!N384+นครปฐม!N384+ปทุมธานี!N384+ประจวบคีรีขันธ์!N384+ปราจีนบุรี!N384+พระนครศรีอยุธยา!N384+เพชรบุรี!N384+ระยอง!N384+ราชบุรี!N384+ลพบุรี!N384+สระแก้ว!N384+สระบุรี!N384+สิงห์บุรี!N384+สุพรรณบุรี!N384+อ่างทอง!N384</f>
        <v>0</v>
      </c>
      <c r="O384" s="169">
        <f t="shared" ca="1" si="57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ญจนบุรี!L385+จันทบุรี!L385+ฉะเชิงเทรา!L385+ชลบุรี!L385+ชัยนาท!L385+ตราด!L385+นครนายก!L385+นครปฐม!L385+ปทุมธานี!L385+ประจวบคีรีขันธ์!L385+ปราจีนบุรี!L385+พระนครศรีอยุธยา!L385+เพชรบุรี!L385+ระยอง!L385+ราชบุรี!L385+ลพบุรี!L385+สระแก้ว!L385+สระบุรี!L385+สิงห์บุรี!L385+สุพรรณบุรี!L385+อ่างทอง!L385</f>
        <v>8972320</v>
      </c>
      <c r="M385" s="169"/>
      <c r="N385" s="168">
        <f ca="1">กาญจนบุรี!N385+จันทบุรี!N385+ฉะเชิงเทรา!N385+ชลบุรี!N385+ชัยนาท!N385+ตราด!N385+นครนายก!N385+นครปฐม!N385+ปทุมธานี!N385+ประจวบคีรีขันธ์!N385+ปราจีนบุรี!N385+พระนครศรีอยุธยา!N385+เพชรบุรี!N385+ระยอง!N385+ราชบุรี!N385+ลพบุรี!N385+สระแก้ว!N385+สระบุรี!N385+สิงห์บุรี!N385+สุพรรณบุรี!N385+อ่างทอง!N385</f>
        <v>2862444.77</v>
      </c>
      <c r="O385" s="169">
        <f t="shared" ca="1" si="57"/>
        <v>31.903061527007509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กาญจนบุรี!N386+จันทบุรี!N386+ฉะเชิงเทรา!N386+ชลบุรี!N386+ชัยนาท!N386+ตราด!N386+นครนายก!N386+นครปฐม!N386+ปทุมธานี!N386+ประจวบคีรีขันธ์!N386+ปราจีนบุรี!N386+พระนครศรีอยุธยา!N386+เพชรบุรี!N386+ระยอง!N386+ราชบุรี!N386+ลพบุรี!N386+สระแก้ว!N386+สระบุรี!N386+สิงห์บุรี!N386+สุพรรณบุรี!N386+อ่างทอง!N386</f>
        <v>1886549.5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กาญจนบุรี!N387+จันทบุรี!N387+ฉะเชิงเทรา!N387+ชลบุรี!N387+ชัยนาท!N387+ตราด!N387+นครนายก!N387+นครปฐม!N387+ปทุมธานี!N387+ประจวบคีรีขันธ์!N387+ปราจีนบุรี!N387+พระนครศรีอยุธยา!N387+เพชรบุรี!N387+ระยอง!N387+ราชบุรี!N387+ลพบุรี!N387+สระแก้ว!N387+สระบุรี!N387+สิงห์บุรี!N387+สุพรรณบุรี!N387+อ่างทอง!N387</f>
        <v>374630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กาญจนบุรี!N388+จันทบุรี!N388+ฉะเชิงเทรา!N388+ชลบุรี!N388+ชัยนาท!N388+ตราด!N388+นครนายก!N388+นครปฐม!N388+ปทุมธานี!N388+ประจวบคีรีขันธ์!N388+ปราจีนบุรี!N388+พระนครศรีอยุธยา!N388+เพชรบุรี!N388+ระยอง!N388+ราชบุรี!N388+ลพบุรี!N388+สระแก้ว!N388+สระบุรี!N388+สิงห์บุรี!N388+สุพรรณบุรี!N388+อ่างทอง!N388</f>
        <v>336299.08999999997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กาญจนบุรี!N389+จันทบุรี!N389+ฉะเชิงเทรา!N389+ชลบุรี!N389+ชัยนาท!N389+ตราด!N389+นครนายก!N389+นครปฐม!N389+ปทุมธานี!N389+ประจวบคีรีขันธ์!N389+ปราจีนบุรี!N389+พระนครศรีอยุธยา!N389+เพชรบุรี!N389+ระยอง!N389+ราชบุรี!N389+ลพบุรี!N389+สระแก้ว!N389+สระบุรี!N389+สิงห์บุรี!N389+สุพรรณบุรี!N389+อ่างทอง!N389</f>
        <v>264966.18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17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17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16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กาญจนบุรี!I396+จันทบุรี!I396+ฉะเชิงเทรา!I396+ชลบุรี!I396+ชัยนาท!I396+ตราด!I396+นครนายก!I396+นครปฐม!I396+ปทุมธานี!I396+ประจวบคีรีขันธ์!I396+ปราจีนบุรี!I396+พระนครศรีอยุธยา!I396+เพชรบุรี!I396+ระยอง!I396+ราชบุรี!I396+ลพบุรี!I396+สระแก้ว!I396+สระบุรี!I396+สิงห์บุรี!I396+สุพรรณบุรี!I396+อ่างทอง!I396</f>
        <v>880</v>
      </c>
      <c r="J396" s="198">
        <f ca="1"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886</v>
      </c>
      <c r="K396" s="163">
        <f t="shared" ref="K396:K398" ca="1" si="58">IF(I396&gt;0,J396*100/I396,0)</f>
        <v>100.68181818181819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ญจนบุรี!I397+จันทบุรี!I397+ฉะเชิงเทรา!I397+ชลบุรี!I397+ชัยนาท!I397+ตราด!I397+นครนายก!I397+นครปฐม!I397+ปทุมธานี!I397+ประจวบคีรีขันธ์!I397+ปราจีนบุรี!I397+พระนครศรีอยุธยา!I397+เพชรบุรี!I397+ระยอง!I397+ราชบุรี!I397+ลพบุรี!I397+สระแก้ว!I397+สระบุรี!I397+สิงห์บุรี!I397+สุพรรณบุรี!I397+อ่างทอง!I397</f>
        <v>8800</v>
      </c>
      <c r="J397" s="198">
        <f ca="1"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1603.25</v>
      </c>
      <c r="K397" s="163">
        <f t="shared" ca="1" si="58"/>
        <v>18.21875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ญจนบุรี!I398+จันทบุรี!I398+ฉะเชิงเทรา!I398+ชลบุรี!I398+ชัยนาท!I398+ตราด!I398+นครนายก!I398+นครปฐม!I398+ปทุมธานี!I398+ประจวบคีรีขันธ์!I398+ปราจีนบุรี!I398+พระนครศรีอยุธยา!I398+เพชรบุรี!I398+ระยอง!I398+ราชบุรี!I398+ลพบุรี!I398+สระแก้ว!I398+สระบุรี!I398+สิงห์บุรี!I398+สุพรรณบุรี!I398+อ่างทอง!I398</f>
        <v>880</v>
      </c>
      <c r="J398" s="198">
        <f ca="1"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177</v>
      </c>
      <c r="K398" s="163">
        <f t="shared" ca="1" si="58"/>
        <v>20.113636363636363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ญจนบุรี!I401+จันทบุรี!I401+ฉะเชิงเทรา!I401+ชลบุรี!I401+ชัยนาท!I401+ตราด!I401+นครนายก!I401+นครปฐม!I401+ปทุมธานี!I401+ประจวบคีรีขันธ์!I401+ปราจีนบุรี!I401+พระนครศรีอยุธยา!I401+เพชรบุรี!I401+ระยอง!I401+ราชบุรี!I401+ลพบุรี!I401+สระแก้ว!I401+สระบุรี!I401+สิงห์บุรี!I401+สุพรรณบุรี!I401+อ่างทอง!I401</f>
        <v>3015</v>
      </c>
      <c r="J401" s="371">
        <f ca="1"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2091</v>
      </c>
      <c r="K401" s="372">
        <f t="shared" ref="K401:K402" ca="1" si="59">IF(I401&gt;0,J401*100/I401,0)</f>
        <v>69.353233830845767</v>
      </c>
      <c r="L401" s="373">
        <f ca="1">กาญจนบุรี!L401+จันทบุรี!L401+ฉะเชิงเทรา!L401+ชลบุรี!L401+ชัยนาท!L401+ตราด!L401+นครนายก!L401+นครปฐม!L401+ปทุมธานี!L401+ประจวบคีรีขันธ์!L401+ปราจีนบุรี!L401+พระนครศรีอยุธยา!L401+เพชรบุรี!L401+ระยอง!L401+ราชบุรี!L401+ลพบุรี!L401+สระแก้ว!L401+สระบุรี!L401+สิงห์บุรี!L401+สุพรรณบุรี!L401+อ่างทอง!L401</f>
        <v>3392750</v>
      </c>
      <c r="M401" s="373"/>
      <c r="N401" s="373">
        <f ca="1">กาญจนบุรี!N401+จันทบุรี!N401+ฉะเชิงเทรา!N401+ชลบุรี!N401+ชัยนาท!N401+ตราด!N401+นครนายก!N401+นครปฐม!N401+ปทุมธานี!N401+ประจวบคีรีขันธ์!N401+ปราจีนบุรี!N401+พระนครศรีอยุธยา!N401+เพชรบุรี!N401+ระยอง!N401+ราชบุรี!N401+ลพบุรี!N401+สระแก้ว!N401+สระบุรี!N401+สิงห์บุรี!N401+สุพรรณบุรี!N401+อ่างทอง!N401</f>
        <v>2122002.92</v>
      </c>
      <c r="O401" s="373">
        <f ca="1">+IF(L401&gt;0,N401*100/L401,0)</f>
        <v>62.545219070075895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ญจนบุรี!I402+จันทบุรี!I402+ฉะเชิงเทรา!I402+ชลบุรี!I402+ชัยนาท!I402+ตราด!I402+นครนายก!I402+นครปฐม!I402+ปทุมธานี!I402+ประจวบคีรีขันธ์!I402+ปราจีนบุรี!I402+พระนครศรีอยุธยา!I402+เพชรบุรี!I402+ระยอง!I402+ราชบุรี!I402+ลพบุรี!I402+สระแก้ว!I402+สระบุรี!I402+สิงห์บุรี!I402+สุพรรณบุรี!I402+อ่างทอง!I402</f>
        <v>1005</v>
      </c>
      <c r="J402" s="371">
        <f ca="1"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887</v>
      </c>
      <c r="K402" s="372">
        <f t="shared" ca="1" si="59"/>
        <v>88.258706467661696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ญจนบุรี!L403+จันทบุรี!L403+ฉะเชิงเทรา!L403+ชลบุรี!L403+ชัยนาท!L403+ตราด!L403+นครนายก!L403+นครปฐม!L403+ปทุมธานี!L403+ประจวบคีรีขันธ์!L403+ปราจีนบุรี!L403+พระนครศรีอยุธยา!L403+เพชรบุรี!L403+ระยอง!L403+ราชบุรี!L403+ลพบุรี!L403+สระแก้ว!L403+สระบุรี!L403+สิงห์บุรี!L403+สุพรรณบุรี!L403+อ่างทอง!L403</f>
        <v>0</v>
      </c>
      <c r="M403" s="164"/>
      <c r="N403" s="169">
        <f ca="1">กาญจนบุรี!N403+จันทบุรี!N403+ฉะเชิงเทรา!N403+ชลบุรี!N403+ชัยนาท!N403+ตราด!N403+นครนายก!N403+นครปฐม!N403+ปทุมธานี!N403+ประจวบคีรีขันธ์!N403+ปราจีนบุรี!N403+พระนครศรีอยุธยา!N403+เพชรบุรี!N403+ระยอง!N403+ราชบุรี!N403+ลพบุรี!N403+สระแก้ว!N403+สระบุรี!N403+สิงห์บุรี!N403+สุพรรณบุรี!N403+อ่างทอง!N403</f>
        <v>0</v>
      </c>
      <c r="O403" s="169">
        <f t="shared" ref="O403:O406" ca="1" si="60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ญจนบุรี!L404+จันทบุรี!L404+ฉะเชิงเทรา!L404+ชลบุรี!L404+ชัยนาท!L404+ตราด!L404+นครนายก!L404+นครปฐม!L404+ปทุมธานี!L404+ประจวบคีรีขันธ์!L404+ปราจีนบุรี!L404+พระนครศรีอยุธยา!L404+เพชรบุรี!L404+ระยอง!L404+ราชบุรี!L404+ลพบุรี!L404+สระแก้ว!L404+สระบุรี!L404+สิงห์บุรี!L404+สุพรรณบุรี!L404+อ่างทอง!L404</f>
        <v>3392750</v>
      </c>
      <c r="M404" s="165"/>
      <c r="N404" s="169">
        <f ca="1">กาญจนบุรี!N404+จันทบุรี!N404+ฉะเชิงเทรา!N404+ชลบุรี!N404+ชัยนาท!N404+ตราด!N404+นครนายก!N404+นครปฐม!N404+ปทุมธานี!N404+ประจวบคีรีขันธ์!N404+ปราจีนบุรี!N404+พระนครศรีอยุธยา!N404+เพชรบุรี!N404+ระยอง!N404+ราชบุรี!N404+ลพบุรี!N404+สระแก้ว!N404+สระบุรี!N404+สิงห์บุรี!N404+สุพรรณบุรี!N404+อ่างทอง!N404</f>
        <v>2122002.92</v>
      </c>
      <c r="O404" s="169">
        <f t="shared" ca="1" si="60"/>
        <v>62.545219070075895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ญจนบุรี!L405+จันทบุรี!L405+ฉะเชิงเทรา!L405+ชลบุรี!L405+ชัยนาท!L405+ตราด!L405+นครนายก!L405+นครปฐม!L405+ปทุมธานี!L405+ประจวบคีรีขันธ์!L405+ปราจีนบุรี!L405+พระนครศรีอยุธยา!L405+เพชรบุรี!L405+ระยอง!L405+ราชบุรี!L405+ลพบุรี!L405+สระแก้ว!L405+สระบุรี!L405+สิงห์บุรี!L405+สุพรรณบุรี!L405+อ่างทอง!L405</f>
        <v>0</v>
      </c>
      <c r="M405" s="169"/>
      <c r="N405" s="169">
        <f ca="1">กาญจนบุรี!N405+จันทบุรี!N405+ฉะเชิงเทรา!N405+ชลบุรี!N405+ชัยนาท!N405+ตราด!N405+นครนายก!N405+นครปฐม!N405+ปทุมธานี!N405+ประจวบคีรีขันธ์!N405+ปราจีนบุรี!N405+พระนครศรีอยุธยา!N405+เพชรบุรี!N405+ระยอง!N405+ราชบุรี!N405+ลพบุรี!N405+สระแก้ว!N405+สระบุรี!N405+สิงห์บุรี!N405+สุพรรณบุรี!N405+อ่างทอง!N405</f>
        <v>0</v>
      </c>
      <c r="O405" s="169">
        <f t="shared" ca="1" si="60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ญจนบุรี!L406+จันทบุรี!L406+ฉะเชิงเทรา!L406+ชลบุรี!L406+ชัยนาท!L406+ตราด!L406+นครนายก!L406+นครปฐม!L406+ปทุมธานี!L406+ประจวบคีรีขันธ์!L406+ปราจีนบุรี!L406+พระนครศรีอยุธยา!L406+เพชรบุรี!L406+ระยอง!L406+ราชบุรี!L406+ลพบุรี!L406+สระแก้ว!L406+สระบุรี!L406+สิงห์บุรี!L406+สุพรรณบุรี!L406+อ่างทอง!L406</f>
        <v>3392750</v>
      </c>
      <c r="M406" s="169"/>
      <c r="N406" s="169">
        <f ca="1">กาญจนบุรี!N406+จันทบุรี!N406+ฉะเชิงเทรา!N406+ชลบุรี!N406+ชัยนาท!N406+ตราด!N406+นครนายก!N406+นครปฐม!N406+ปทุมธานี!N406+ประจวบคีรีขันธ์!N406+ปราจีนบุรี!N406+พระนครศรีอยุธยา!N406+เพชรบุรี!N406+ระยอง!N406+ราชบุรี!N406+ลพบุรี!N406+สระแก้ว!N406+สระบุรี!N406+สิงห์บุรี!N406+สุพรรณบุรี!N406+อ่างทอง!N406</f>
        <v>2122002.92</v>
      </c>
      <c r="O406" s="169">
        <f t="shared" ca="1" si="60"/>
        <v>62.545219070075895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กาญจนบุรี!N407+จันทบุรี!N407+ฉะเชิงเทรา!N407+ชลบุรี!N407+ชัยนาท!N407+ตราด!N407+นครนายก!N407+นครปฐม!N407+ปทุมธานี!N407+ประจวบคีรีขันธ์!N407+ปราจีนบุรี!N407+พระนครศรีอยุธยา!N407+เพชรบุรี!N407+ระยอง!N407+ราชบุรี!N407+ลพบุรี!N407+สระแก้ว!N407+สระบุรี!N407+สิงห์บุรี!N407+สุพรรณบุรี!N407+อ่างทอง!N407</f>
        <v>1651177.92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กาญจนบุรี!N408+จันทบุรี!N408+ฉะเชิงเทรา!N408+ชลบุรี!N408+ชัยนาท!N408+ตราด!N408+นครนายก!N408+นครปฐม!N408+ปทุมธานี!N408+ประจวบคีรีขันธ์!N408+ปราจีนบุรี!N408+พระนครศรีอยุธยา!N408+เพชรบุรี!N408+ระยอง!N408+ราชบุรี!N408+ลพบุรี!N408+สระแก้ว!N408+สระบุรี!N408+สิงห์บุรี!N408+สุพรรณบุรี!N408+อ่างทอง!N408</f>
        <v>213095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กาญจนบุรี!N409+จันทบุรี!N409+ฉะเชิงเทรา!N409+ชลบุรี!N409+ชัยนาท!N409+ตราด!N409+นครนายก!N409+นครปฐม!N409+ปทุมธานี!N409+ประจวบคีรีขันธ์!N409+ปราจีนบุรี!N409+พระนครศรีอยุธยา!N409+เพชรบุรี!N409+ระยอง!N409+ราชบุรี!N409+ลพบุรี!N409+สระแก้ว!N409+สระบุรี!N409+สิงห์บุรี!N409+สุพรรณบุรี!N409+อ่างทอง!N409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กาญจนบุรี!N410+จันทบุรี!N410+ฉะเชิงเทรา!N410+ชลบุรี!N410+ชัยนาท!N410+ตราด!N410+นครนายก!N410+นครปฐม!N410+ปทุมธานี!N410+ประจวบคีรีขันธ์!N410+ปราจีนบุรี!N410+พระนครศรีอยุธยา!N410+เพชรบุรี!N410+ระยอง!N410+ราชบุรี!N410+ลพบุรี!N410+สระแก้ว!N410+สระบุรี!N410+สิงห์บุรี!N410+สุพรรณบุรี!N410+อ่างทอง!N410</f>
        <v>257730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20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21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19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ญจนบุรี!I416+จันทบุรี!I416+ฉะเชิงเทรา!I416+ชลบุรี!I416+ชัยนาท!I416+ตราด!I416+นครนายก!I416+นครปฐม!I416+ปทุมธานี!I416+ประจวบคีรีขันธ์!I416+ปราจีนบุรี!I416+พระนครศรีอยุธยา!I416+เพชรบุรี!I416+ระยอง!I416+ราชบุรี!I416+ลพบุรี!I416+สระแก้ว!I416+สระบุรี!I416+สิงห์บุรี!I416+สุพรรณบุรี!I416+อ่างทอง!I416</f>
        <v>1005</v>
      </c>
      <c r="J416" s="201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887</v>
      </c>
      <c r="K416" s="202">
        <f t="shared" ref="K416:K432" ca="1" si="61">IF(I416&gt;0,J416*100/I416,0)</f>
        <v>88.258706467661696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ญจนบุรี!I417+จันทบุรี!I417+ฉะเชิงเทรา!I417+ชลบุรี!I417+ชัยนาท!I417+ตราด!I417+นครนายก!I417+นครปฐม!I417+ปทุมธานี!I417+ประจวบคีรีขันธ์!I417+ปราจีนบุรี!I417+พระนครศรีอยุธยา!I417+เพชรบุรี!I417+ระยอง!I417+ราชบุรี!I417+ลพบุรี!I417+สระแก้ว!I417+สระบุรี!I417+สิงห์บุรี!I417+สุพรรณบุรี!I417+อ่างทอง!I417</f>
        <v>238</v>
      </c>
      <c r="J417" s="392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195</v>
      </c>
      <c r="K417" s="202">
        <f t="shared" ca="1" si="61"/>
        <v>81.932773109243698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714</v>
      </c>
      <c r="J418" s="393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600</v>
      </c>
      <c r="K418" s="202">
        <f t="shared" ca="1" si="61"/>
        <v>84.033613445378151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238</v>
      </c>
      <c r="J419" s="394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195</v>
      </c>
      <c r="K419" s="163">
        <f t="shared" ca="1" si="61"/>
        <v>81.932773109243698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238</v>
      </c>
      <c r="J420" s="394">
        <f ca="1"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238</v>
      </c>
      <c r="K420" s="288">
        <f t="shared" ca="1" si="61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531</v>
      </c>
      <c r="J421" s="392">
        <f ca="1"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486</v>
      </c>
      <c r="K421" s="202">
        <f t="shared" ca="1" si="61"/>
        <v>91.525423728813564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ญจนบุรี!I422+จันทบุรี!I422+ฉะเชิงเทรา!I422+ชลบุรี!I422+ชัยนาท!I422+ตราด!I422+นครนายก!I422+นครปฐม!I422+ปทุมธานี!I422+ประจวบคีรีขันธ์!I422+ปราจีนบุรี!I422+พระนครศรีอยุธยา!I422+เพชรบุรี!I422+ระยอง!I422+ราชบุรี!I422+ลพบุรี!I422+สระแก้ว!I422+สระบุรี!I422+สิงห์บุรี!I422+สุพรรณบุรี!I422+อ่างทอง!I422</f>
        <v>1593</v>
      </c>
      <c r="J422" s="393">
        <f ca="1"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1005</v>
      </c>
      <c r="K422" s="202">
        <f t="shared" ca="1" si="61"/>
        <v>63.088512241054616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กาญจนบุรี!I423+จันทบุรี!I423+ฉะเชิงเทรา!I423+ชลบุรี!I423+ชัยนาท!I423+ตราด!I423+นครนายก!I423+นครปฐม!I423+ปทุมธานี!I423+ประจวบคีรีขันธ์!I423+ปราจีนบุรี!I423+พระนครศรีอยุธยา!I423+เพชรบุรี!I423+ระยอง!I423+ราชบุรี!I423+ลพบุรี!I423+สระแก้ว!I423+สระบุรี!I423+สิงห์บุรี!I423+สุพรรณบุรี!I423+อ่างทอง!I423</f>
        <v>531</v>
      </c>
      <c r="J423" s="394">
        <f ca="1"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531</v>
      </c>
      <c r="K423" s="163">
        <f t="shared" ca="1" si="61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กาญจนบุรี!I424+จันทบุรี!I424+ฉะเชิงเทรา!I424+ชลบุรี!I424+ชัยนาท!I424+ตราด!I424+นครนายก!I424+นครปฐม!I424+ปทุมธานี!I424+ประจวบคีรีขันธ์!I424+ปราจีนบุรี!I424+พระนครศรีอยุธยา!I424+เพชรบุรี!I424+ระยอง!I424+ราชบุรี!I424+ลพบุรี!I424+สระแก้ว!I424+สระบุรี!I424+สิงห์บุรี!I424+สุพรรณบุรี!I424+อ่างทอง!I424</f>
        <v>531</v>
      </c>
      <c r="J424" s="394">
        <f ca="1"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486</v>
      </c>
      <c r="K424" s="163">
        <f t="shared" ca="1" si="61"/>
        <v>91.525423728813564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กาญจนบุรี!I425+จันทบุรี!I425+ฉะเชิงเทรา!I425+ชลบุรี!I425+ชัยนาท!I425+ตราด!I425+นครนายก!I425+นครปฐม!I425+ปทุมธานี!I425+ประจวบคีรีขันธ์!I425+ปราจีนบุรี!I425+พระนครศรีอยุธยา!I425+เพชรบุรี!I425+ระยอง!I425+ราชบุรี!I425+ลพบุรี!I425+สระแก้ว!I425+สระบุรี!I425+สิงห์บุรี!I425+สุพรรณบุรี!I425+อ่างทอง!I425</f>
        <v>531</v>
      </c>
      <c r="J425" s="394">
        <f ca="1"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486</v>
      </c>
      <c r="K425" s="163">
        <f t="shared" ca="1" si="61"/>
        <v>91.525423728813564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236</v>
      </c>
      <c r="J426" s="392">
        <f ca="1"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206</v>
      </c>
      <c r="K426" s="202">
        <f t="shared" ca="1" si="61"/>
        <v>87.288135593220332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ญจนบุรี!I427+จันทบุรี!I427+ฉะเชิงเทรา!I427+ชลบุรี!I427+ชัยนาท!I427+ตราด!I427+นครนายก!I427+นครปฐม!I427+ปทุมธานี!I427+ประจวบคีรีขันธ์!I427+ปราจีนบุรี!I427+พระนครศรีอยุธยา!I427+เพชรบุรี!I427+ระยอง!I427+ราชบุรี!I427+ลพบุรี!I427+สระแก้ว!I427+สระบุรี!I427+สิงห์บุรี!I427+สุพรรณบุรี!I427+อ่างทอง!I427</f>
        <v>708</v>
      </c>
      <c r="J427" s="393">
        <f ca="1"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486</v>
      </c>
      <c r="K427" s="202">
        <f t="shared" ca="1" si="61"/>
        <v>68.644067796610173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236</v>
      </c>
      <c r="J428" s="394">
        <f ca="1"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226</v>
      </c>
      <c r="K428" s="163">
        <f t="shared" ca="1" si="61"/>
        <v>95.762711864406782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กาญจนบุรี!I429+จันทบุรี!I429+ฉะเชิงเทรา!I429+ชลบุรี!I429+ชัยนาท!I429+ตราด!I429+นครนายก!I429+นครปฐม!I429+ปทุมธานี!I429+ประจวบคีรีขันธ์!I429+ปราจีนบุรี!I429+พระนครศรีอยุธยา!I429+เพชรบุรี!I429+ระยอง!I429+ราชบุรี!I429+ลพบุรี!I429+สระแก้ว!I429+สระบุรี!I429+สิงห์บุรี!I429+สุพรรณบุรี!I429+อ่างทอง!I429</f>
        <v>236</v>
      </c>
      <c r="J429" s="394">
        <f ca="1">กาญจนบุรี!J429+จันทบุรี!J429+ฉะเชิงเทรา!J429+ชลบุรี!J429+ชัยนาท!J429+ตราด!J429+นครนายก!J429+นครปฐม!J429+ปทุมธานี!J429+ประจวบคีรีขันธ์!J429+ปราจีนบุรี!J429+พระนครศรีอยุธยา!J429+เพชรบุรี!J429+ระยอง!J429+ราชบุรี!J429+ลพบุรี!J429+สระแก้ว!J429+สระบุรี!J429+สิงห์บุรี!J429+สุพรรณบุรี!J429+อ่างทอง!J429</f>
        <v>206</v>
      </c>
      <c r="K429" s="163">
        <f t="shared" ca="1" si="61"/>
        <v>87.288135593220332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ญจนบุรี!I430+จันทบุรี!I430+ฉะเชิงเทรา!I430+ชลบุรี!I430+ชัยนาท!I430+ตราด!I430+นครนายก!I430+นครปฐม!I430+ปทุมธานี!I430+ประจวบคีรีขันธ์!I430+ปราจีนบุรี!I430+พระนครศรีอยุธยา!I430+เพชรบุรี!I430+ระยอง!I430+ราชบุรี!I430+ลพบุรี!I430+สระแก้ว!I430+สระบุรี!I430+สิงห์บุรี!I430+สุพรรณบุรี!I430+อ่างทอง!I430</f>
        <v>769</v>
      </c>
      <c r="J430" s="392">
        <f ca="1">กาญจนบุรี!J430+จันทบุรี!J430+ฉะเชิงเทรา!J430+ชลบุรี!J430+ชัยนาท!J430+ตราด!J430+นครนายก!J430+นครปฐม!J430+ปทุมธานี!J430+ประจวบคีรีขันธ์!J430+ปราจีนบุรี!J430+พระนครศรีอยุธยา!J430+เพชรบุรี!J430+ระยอง!J430+ราชบุรี!J430+ลพบุรี!J430+สระแก้ว!J430+สระบุรี!J430+สิงห์บุรี!J430+สุพรรณบุรี!J430+อ่างทอง!J430</f>
        <v>180</v>
      </c>
      <c r="K430" s="202">
        <f t="shared" ca="1" si="61"/>
        <v>23.407022106631988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กาญจนบุรี!I431+จันทบุรี!I431+ฉะเชิงเทรา!I431+ชลบุรี!I431+ชัยนาท!I431+ตราด!I431+นครนายก!I431+นครปฐม!I431+ปทุมธานี!I431+ประจวบคีรีขันธ์!I431+ปราจีนบุรี!I431+พระนครศรีอยุธยา!I431+เพชรบุรี!I431+ระยอง!I431+ราชบุรี!I431+ลพบุรี!I431+สระแก้ว!I431+สระบุรี!I431+สิงห์บุรี!I431+สุพรรณบุรี!I431+อ่างทอง!I431</f>
        <v>238</v>
      </c>
      <c r="J431" s="394">
        <f ca="1">กาญจนบุรี!J431+จันทบุรี!J431+ฉะเชิงเทรา!J431+ชลบุรี!J431+ชัยนาท!J431+ตราด!J431+นครนายก!J431+นครปฐม!J431+ปทุมธานี!J431+ประจวบคีรีขันธ์!J431+ปราจีนบุรี!J431+พระนครศรีอยุธยา!J431+เพชรบุรี!J431+ระยอง!J431+ราชบุรี!J431+ลพบุรี!J431+สระแก้ว!J431+สระบุรี!J431+สิงห์บุรี!J431+สุพรรณบุรี!J431+อ่างทอง!J431</f>
        <v>70</v>
      </c>
      <c r="K431" s="163">
        <f t="shared" ca="1" si="61"/>
        <v>29.411764705882351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กาญจนบุรี!I432+จันทบุรี!I432+ฉะเชิงเทรา!I432+ชลบุรี!I432+ชัยนาท!I432+ตราด!I432+นครนายก!I432+นครปฐม!I432+ปทุมธานี!I432+ประจวบคีรีขันธ์!I432+ปราจีนบุรี!I432+พระนครศรีอยุธยา!I432+เพชรบุรี!I432+ระยอง!I432+ราชบุรี!I432+ลพบุรี!I432+สระแก้ว!I432+สระบุรี!I432+สิงห์บุรี!I432+สุพรรณบุรี!I432+อ่างทอง!I432</f>
        <v>531</v>
      </c>
      <c r="J432" s="394">
        <f ca="1">กาญจนบุรี!J432+จันทบุรี!J432+ฉะเชิงเทรา!J432+ชลบุรี!J432+ชัยนาท!J432+ตราด!J432+นครนายก!J432+นครปฐม!J432+ปทุมธานี!J432+ประจวบคีรีขันธ์!J432+ปราจีนบุรี!J432+พระนครศรีอยุธยา!J432+เพชรบุรี!J432+ระยอง!J432+ราชบุรี!J432+ลพบุรี!J432+สระแก้ว!J432+สระบุรี!J432+สิงห์บุรี!J432+สุพรรณบุรี!J432+อ่างทอง!J432</f>
        <v>165</v>
      </c>
      <c r="K432" s="163">
        <f t="shared" ca="1" si="61"/>
        <v>31.073446327683616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ญจนบุรี!J433+จันทบุรี!J433+ฉะเชิงเทรา!J433+ชลบุรี!J433+ชัยนาท!J433+ตราด!J433+นครนายก!J433+นครปฐม!J433+ปทุมธานี!J433+ประจวบคีรีขันธ์!J433+ปราจีนบุรี!J433+พระนครศรีอยุธยา!J433+เพชรบุรี!J433+ระยอง!J433+ราชบุรี!J433+ลพบุรี!J433+สระแก้ว!J433+สระบุรี!J433+สิงห์บุรี!J433+สุพรรณบุรี!J433+อ่างทอง!J433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กาญจนบุรี!J434+จันทบุรี!J434+ฉะเชิงเทรา!J434+ชลบุรี!J434+ชัยนาท!J434+ตราด!J434+นครนายก!J434+นครปฐม!J434+ปทุมธานี!J434+ประจวบคีรีขันธ์!J434+ปราจีนบุรี!J434+พระนครศรีอยุธยา!J434+เพชรบุรี!J434+ระยอง!J434+ราชบุรี!J434+ลพบุรี!J434+สระแก้ว!J434+สระบุรี!J434+สิงห์บุรี!J434+สุพรรณบุรี!J434+อ่างทอง!J434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ญจนบุรี!I435+จันทบุรี!I435+ฉะเชิงเทรา!I435+ชลบุรี!I435+ชัยนาท!I435+ตราด!I435+นครนายก!I435+นครปฐม!I435+ปทุมธานี!I435+ประจวบคีรีขันธ์!I435+ปราจีนบุรี!I435+พระนครศรีอยุธยา!I435+เพชรบุรี!I435+ระยอง!I435+ราชบุรี!I435+ลพบุรี!I435+สระแก้ว!I435+สระบุรี!I435+สิงห์บุรี!I435+สุพรรณบุรี!I435+อ่างทอง!I435</f>
        <v>509</v>
      </c>
      <c r="J435" s="410">
        <f ca="1">กาญจนบุรี!J435+จันทบุรี!J435+ฉะเชิงเทรา!J435+ชลบุรี!J435+ชัยนาท!J435+ตราด!J435+นครนายก!J435+นครปฐม!J435+ปทุมธานี!J435+ประจวบคีรีขันธ์!J435+ปราจีนบุรี!J435+พระนครศรีอยุธยา!J435+เพชรบุรี!J435+ระยอง!J435+ราชบุรี!J435+ลพบุรี!J435+สระแก้ว!J435+สระบุรี!J435+สิงห์บุรี!J435+สุพรรณบุรี!J435+อ่างทอง!J435</f>
        <v>499</v>
      </c>
      <c r="K435" s="411">
        <f ca="1">IF(I435&gt;0,J435*100/I435,0)</f>
        <v>98.035363457760312</v>
      </c>
      <c r="L435" s="412">
        <f ca="1">กาญจนบุรี!L435+จันทบุรี!L435+ฉะเชิงเทรา!L435+ชลบุรี!L435+ชัยนาท!L435+ตราด!L435+นครนายก!L435+นครปฐม!L435+ปทุมธานี!L435+ประจวบคีรีขันธ์!L435+ปราจีนบุรี!L435+พระนครศรีอยุธยา!L435+เพชรบุรี!L435+ระยอง!L435+ราชบุรี!L435+ลพบุรี!L435+สระแก้ว!L435+สระบุรี!L435+สิงห์บุรี!L435+สุพรรณบุรี!L435+อ่างทอง!L435</f>
        <v>2293900</v>
      </c>
      <c r="M435" s="412"/>
      <c r="N435" s="412">
        <f ca="1">กาญจนบุรี!N435+จันทบุรี!N435+ฉะเชิงเทรา!N435+ชลบุรี!N435+ชัยนาท!N435+ตราด!N435+นครนายก!N435+นครปฐม!N435+ปทุมธานี!N435+ประจวบคีรีขันธ์!N435+ปราจีนบุรี!N435+พระนครศรีอยุธยา!N435+เพชรบุรี!N435+ระยอง!N435+ราชบุรี!N435+ลพบุรี!N435+สระแก้ว!N435+สระบุรี!N435+สิงห์บุรี!N435+สุพรรณบุรี!N435+อ่างทอง!N435</f>
        <v>1380980.7799999998</v>
      </c>
      <c r="O435" s="412">
        <f t="shared" ref="O435:O439" ca="1" si="62">+IF(L435&gt;0,N435*100/L435,0)</f>
        <v>60.202309603731621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ญจนบุรี!L436+จันทบุรี!L436+ฉะเชิงเทรา!L436+ชลบุรี!L436+ชัยนาท!L436+ตราด!L436+นครนายก!L436+นครปฐม!L436+ปทุมธานี!L436+ประจวบคีรีขันธ์!L436+ปราจีนบุรี!L436+พระนครศรีอยุธยา!L436+เพชรบุรี!L436+ระยอง!L436+ราชบุรี!L436+ลพบุรี!L436+สระแก้ว!L436+สระบุรี!L436+สิงห์บุรี!L436+สุพรรณบุรี!L436+อ่างทอง!L436</f>
        <v>0</v>
      </c>
      <c r="M436" s="164"/>
      <c r="N436" s="169">
        <f ca="1">กาญจนบุรี!N436+จันทบุรี!N436+ฉะเชิงเทรา!N436+ชลบุรี!N436+ชัยนาท!N436+ตราด!N436+นครนายก!N436+นครปฐม!N436+ปทุมธานี!N436+ประจวบคีรีขันธ์!N436+ปราจีนบุรี!N436+พระนครศรีอยุธยา!N436+เพชรบุรี!N436+ระยอง!N436+ราชบุรี!N436+ลพบุรี!N436+สระแก้ว!N436+สระบุรี!N436+สิงห์บุรี!N436+สุพรรณบุรี!N436+อ่างทอง!N436</f>
        <v>0</v>
      </c>
      <c r="O436" s="169">
        <f t="shared" ca="1" si="62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ญจนบุรี!L437+จันทบุรี!L437+ฉะเชิงเทรา!L437+ชลบุรี!L437+ชัยนาท!L437+ตราด!L437+นครนายก!L437+นครปฐม!L437+ปทุมธานี!L437+ประจวบคีรีขันธ์!L437+ปราจีนบุรี!L437+พระนครศรีอยุธยา!L437+เพชรบุรี!L437+ระยอง!L437+ราชบุรี!L437+ลพบุรี!L437+สระแก้ว!L437+สระบุรี!L437+สิงห์บุรี!L437+สุพรรณบุรี!L437+อ่างทอง!L437</f>
        <v>2293900</v>
      </c>
      <c r="M437" s="165"/>
      <c r="N437" s="169">
        <f ca="1">กาญจนบุรี!N437+จันทบุรี!N437+ฉะเชิงเทรา!N437+ชลบุรี!N437+ชัยนาท!N437+ตราด!N437+นครนายก!N437+นครปฐม!N437+ปทุมธานี!N437+ประจวบคีรีขันธ์!N437+ปราจีนบุรี!N437+พระนครศรีอยุธยา!N437+เพชรบุรี!N437+ระยอง!N437+ราชบุรี!N437+ลพบุรี!N437+สระแก้ว!N437+สระบุรี!N437+สิงห์บุรี!N437+สุพรรณบุรี!N437+อ่างทอง!N437</f>
        <v>1380980.7799999998</v>
      </c>
      <c r="O437" s="169">
        <f t="shared" ca="1" si="62"/>
        <v>60.202309603731621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ญจนบุรี!L438+จันทบุรี!L438+ฉะเชิงเทรา!L438+ชลบุรี!L438+ชัยนาท!L438+ตราด!L438+นครนายก!L438+นครปฐม!L438+ปทุมธานี!L438+ประจวบคีรีขันธ์!L438+ปราจีนบุรี!L438+พระนครศรีอยุธยา!L438+เพชรบุรี!L438+ระยอง!L438+ราชบุรี!L438+ลพบุรี!L438+สระแก้ว!L438+สระบุรี!L438+สิงห์บุรี!L438+สุพรรณบุรี!L438+อ่างทอง!L438</f>
        <v>0</v>
      </c>
      <c r="M438" s="169"/>
      <c r="N438" s="169">
        <f ca="1">กาญจนบุรี!N438+จันทบุรี!N438+ฉะเชิงเทรา!N438+ชลบุรี!N438+ชัยนาท!N438+ตราด!N438+นครนายก!N438+นครปฐม!N438+ปทุมธานี!N438+ประจวบคีรีขันธ์!N438+ปราจีนบุรี!N438+พระนครศรีอยุธยา!N438+เพชรบุรี!N438+ระยอง!N438+ราชบุรี!N438+ลพบุรี!N438+สระแก้ว!N438+สระบุรี!N438+สิงห์บุรี!N438+สุพรรณบุรี!N438+อ่างทอง!N438</f>
        <v>0</v>
      </c>
      <c r="O438" s="169">
        <f t="shared" ca="1" si="62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ญจนบุรี!L439+จันทบุรี!L439+ฉะเชิงเทรา!L439+ชลบุรี!L439+ชัยนาท!L439+ตราด!L439+นครนายก!L439+นครปฐม!L439+ปทุมธานี!L439+ประจวบคีรีขันธ์!L439+ปราจีนบุรี!L439+พระนครศรีอยุธยา!L439+เพชรบุรี!L439+ระยอง!L439+ราชบุรี!L439+ลพบุรี!L439+สระแก้ว!L439+สระบุรี!L439+สิงห์บุรี!L439+สุพรรณบุรี!L439+อ่างทอง!L439</f>
        <v>2293900</v>
      </c>
      <c r="M439" s="169"/>
      <c r="N439" s="169">
        <f ca="1">กาญจนบุรี!N439+จันทบุรี!N439+ฉะเชิงเทรา!N439+ชลบุรี!N439+ชัยนาท!N439+ตราด!N439+นครนายก!N439+นครปฐม!N439+ปทุมธานี!N439+ประจวบคีรีขันธ์!N439+ปราจีนบุรี!N439+พระนครศรีอยุธยา!N439+เพชรบุรี!N439+ระยอง!N439+ราชบุรี!N439+ลพบุรี!N439+สระแก้ว!N439+สระบุรี!N439+สิงห์บุรี!N439+สุพรรณบุรี!N439+อ่างทอง!N439</f>
        <v>1380980.7799999998</v>
      </c>
      <c r="O439" s="169">
        <f t="shared" ca="1" si="62"/>
        <v>60.202309603731621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กาญจนบุรี!N440+จันทบุรี!N440+ฉะเชิงเทรา!N440+ชลบุรี!N440+ชัยนาท!N440+ตราด!N440+นครนายก!N440+นครปฐม!N440+ปทุมธานี!N440+ประจวบคีรีขันธ์!N440+ปราจีนบุรี!N440+พระนครศรีอยุธยา!N440+เพชรบุรี!N440+ระยอง!N440+ราชบุรี!N440+ลพบุรี!N440+สระแก้ว!N440+สระบุรี!N440+สิงห์บุรี!N440+สุพรรณบุรี!N440+อ่างทอง!N440</f>
        <v>1033733.39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กาญจนบุรี!N441+จันทบุรี!N441+ฉะเชิงเทรา!N441+ชลบุรี!N441+ชัยนาท!N441+ตราด!N441+นครนายก!N441+นครปฐม!N441+ปทุมธานี!N441+ประจวบคีรีขันธ์!N441+ปราจีนบุรี!N441+พระนครศรีอยุธยา!N441+เพชรบุรี!N441+ระยอง!N441+ราชบุรี!N441+ลพบุรี!N441+สระแก้ว!N441+สระบุรี!N441+สิงห์บุรี!N441+สุพรรณบุรี!N441+อ่างทอง!N441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กาญจนบุรี!N442+จันทบุรี!N442+ฉะเชิงเทรา!N442+ชลบุรี!N442+ชัยนาท!N442+ตราด!N442+นครนายก!N442+นครปฐม!N442+ปทุมธานี!N442+ประจวบคีรีขันธ์!N442+ปราจีนบุรี!N442+พระนครศรีอยุธยา!N442+เพชรบุรี!N442+ระยอง!N442+ราชบุรี!N442+ลพบุรี!N442+สระแก้ว!N442+สระบุรี!N442+สิงห์บุรี!N442+สุพรรณบุรี!N442+อ่างทอง!N442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กาญจนบุรี!N443+จันทบุรี!N443+ฉะเชิงเทรา!N443+ชลบุรี!N443+ชัยนาท!N443+ตราด!N443+นครนายก!N443+นครปฐม!N443+ปทุมธานี!N443+ประจวบคีรีขันธ์!N443+ปราจีนบุรี!N443+พระนครศรีอยุธยา!N443+เพชรบุรี!N443+ระยอง!N443+ราชบุรี!N443+ลพบุรี!N443+สระแก้ว!N443+สระบุรี!N443+สิงห์บุรี!N443+สุพรรณบุรี!N443+อ่างทอง!N443</f>
        <v>347247.39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20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ญจนบุรี!J447+จันทบุรี!J447+ฉะเชิงเทรา!J447+ชลบุรี!J447+ชัยนาท!J447+ตราด!J447+นครนายก!J447+นครปฐม!J447+ปทุมธานี!J447+ประจวบคีรีขันธ์!J447+ปราจีนบุรี!J447+พระนครศรีอยุธยา!J447+เพชรบุรี!J447+ระยอง!J447+ราชบุรี!J447+ลพบุรี!J447+สระแก้ว!J447+สระบุรี!J447+สิงห์บุรี!J447+สุพรรณบุรี!J447+อ่างทอง!J447</f>
        <v>20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ญจนบุรี!J448+จันทบุรี!J448+ฉะเชิงเทรา!J448+ชลบุรี!J448+ชัยนาท!J448+ตราด!J448+นครนายก!J448+นครปฐม!J448+ปทุมธานี!J448+ประจวบคีรีขันธ์!J448+ปราจีนบุรี!J448+พระนครศรีอยุธยา!J448+เพชรบุรี!J448+ระยอง!J448+ราชบุรี!J448+ลพบุรี!J448+สระแก้ว!J448+สระบุรี!J448+สิงห์บุรี!J448+สุพรรณบุรี!J448+อ่างทอง!J448</f>
        <v>19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ญจนบุรี!I449+จันทบุรี!I449+ฉะเชิงเทรา!I449+ชลบุรี!I449+ชัยนาท!I449+ตราด!I449+นครนายก!I449+นครปฐม!I449+ปทุมธานี!I449+ประจวบคีรีขันธ์!I449+ปราจีนบุรี!I449+พระนครศรีอยุธยา!I449+เพชรบุรี!I449+ระยอง!I449+ราชบุรี!I449+ลพบุรี!I449+สระแก้ว!I449+สระบุรี!I449+สิงห์บุรี!I449+สุพรรณบุรี!I449+อ่างทอง!I449</f>
        <v>509</v>
      </c>
      <c r="J449" s="201">
        <f ca="1">กาญจนบุรี!J449+จันทบุรี!J449+ฉะเชิงเทรา!J449+ชลบุรี!J449+ชัยนาท!J449+ตราด!J449+นครนายก!J449+นครปฐม!J449+ปทุมธานี!J449+ประจวบคีรีขันธ์!J449+ปราจีนบุรี!J449+พระนครศรีอยุธยา!J449+เพชรบุรี!J449+ระยอง!J449+ราชบุรี!J449+ลพบุรี!J449+สระแก้ว!J449+สระบุรี!J449+สิงห์บุรี!J449+สุพรรณบุรี!J449+อ่างทอง!J449</f>
        <v>499</v>
      </c>
      <c r="K449" s="163">
        <f t="shared" ref="K449:K452" ca="1" si="63">IF(I449&gt;0,J449*100/I449,0)</f>
        <v>98.035363457760312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กาญจนบุรี!I450+จันทบุรี!I450+ฉะเชิงเทรา!I450+ชลบุรี!I450+ชัยนาท!I450+ตราด!I450+นครนายก!I450+นครปฐม!I450+ปทุมธานี!I450+ประจวบคีรีขันธ์!I450+ปราจีนบุรี!I450+พระนครศรีอยุธยา!I450+เพชรบุรี!I450+ระยอง!I450+ราชบุรี!I450+ลพบุรี!I450+สระแก้ว!I450+สระบุรี!I450+สิงห์บุรี!I450+สุพรรณบุรี!I450+อ่างทอง!I450</f>
        <v>399</v>
      </c>
      <c r="J450" s="189">
        <f ca="1">กาญจนบุรี!J450+จันทบุรี!J450+ฉะเชิงเทรา!J450+ชลบุรี!J450+ชัยนาท!J450+ตราด!J450+นครนายก!J450+นครปฐม!J450+ปทุมธานี!J450+ประจวบคีรีขันธ์!J450+ปราจีนบุรี!J450+พระนครศรีอยุธยา!J450+เพชรบุรี!J450+ระยอง!J450+ราชบุรี!J450+ลพบุรี!J450+สระแก้ว!J450+สระบุรี!J450+สิงห์บุรี!J450+สุพรรณบุรี!J450+อ่างทอง!J450</f>
        <v>389</v>
      </c>
      <c r="K450" s="163">
        <f t="shared" ca="1" si="63"/>
        <v>97.493734335839605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กาญจนบุรี!I451+จันทบุรี!I451+ฉะเชิงเทรา!I451+ชลบุรี!I451+ชัยนาท!I451+ตราด!I451+นครนายก!I451+นครปฐม!I451+ปทุมธานี!I451+ประจวบคีรีขันธ์!I451+ปราจีนบุรี!I451+พระนครศรีอยุธยา!I451+เพชรบุรี!I451+ระยอง!I451+ราชบุรี!I451+ลพบุรี!I451+สระแก้ว!I451+สระบุรี!I451+สิงห์บุรี!I451+สุพรรณบุรี!I451+อ่างทอง!I451</f>
        <v>110</v>
      </c>
      <c r="J451" s="188">
        <f ca="1">กาญจนบุรี!J451+จันทบุรี!J451+ฉะเชิงเทรา!J451+ชลบุรี!J451+ชัยนาท!J451+ตราด!J451+นครนายก!J451+นครปฐม!J451+ปทุมธานี!J451+ประจวบคีรีขันธ์!J451+ปราจีนบุรี!J451+พระนครศรีอยุธยา!J451+เพชรบุรี!J451+ระยอง!J451+ราชบุรี!J451+ลพบุรี!J451+สระแก้ว!J451+สระบุรี!J451+สิงห์บุรี!J451+สุพรรณบุรี!J451+อ่างทอง!J451</f>
        <v>110</v>
      </c>
      <c r="K451" s="163">
        <f t="shared" ca="1" si="63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ญจนบุรี!I452+จันทบุรี!I452+ฉะเชิงเทรา!I452+ชลบุรี!I452+ชัยนาท!I452+ตราด!I452+นครนายก!I452+นครปฐม!I452+ปทุมธานี!I452+ประจวบคีรีขันธ์!I452+ปราจีนบุรี!I452+พระนครศรีอยุธยา!I452+เพชรบุรี!I452+ระยอง!I452+ราชบุรี!I452+ลพบุรี!I452+สระแก้ว!I452+สระบุรี!I452+สิงห์บุรี!I452+สุพรรณบุรี!I452+อ่างทอง!I452</f>
        <v>0</v>
      </c>
      <c r="J452" s="188">
        <f ca="1">กาญจนบุรี!J452+จันทบุรี!J452+ฉะเชิงเทรา!J452+ชลบุรี!J452+ชัยนาท!J452+ตราด!J452+นครนายก!J452+นครปฐม!J452+ปทุมธานี!J452+ประจวบคีรีขันธ์!J452+ปราจีนบุรี!J452+พระนครศรีอยุธยา!J452+เพชรบุรี!J452+ระยอง!J452+ราชบุรี!J452+ลพบุรี!J452+สระแก้ว!J452+สระบุรี!J452+สิงห์บุรี!J452+สุพรรณบุรี!J452+อ่างทอง!J452</f>
        <v>0</v>
      </c>
      <c r="K452" s="163">
        <f t="shared" ca="1" si="63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556255</v>
      </c>
      <c r="J455" s="371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60163.79</v>
      </c>
      <c r="K455" s="372">
        <f ca="1">IF(I455&gt;0,J455*100/I455,0)</f>
        <v>10.815865025932352</v>
      </c>
      <c r="L455" s="373">
        <f ca="1">กาญจนบุรี!L455+จันทบุรี!L455+ฉะเชิงเทรา!L455+ชลบุรี!L455+ชัยนาท!L455+ตราด!L455+นครนายก!L455+นครปฐม!L455+ปทุมธานี!L455+ประจวบคีรีขันธ์!L455+ปราจีนบุรี!L455+พระนครศรีอยุธยา!L455+เพชรบุรี!L455+ระยอง!L455+ราชบุรี!L455+ลพบุรี!L455+สระแก้ว!L455+สระบุรี!L455+สิงห์บุรี!L455+สุพรรณบุรี!L455+อ่างทอง!L455</f>
        <v>5513963</v>
      </c>
      <c r="M455" s="373"/>
      <c r="N455" s="373">
        <f ca="1">กาญจนบุรี!N455+จันทบุรี!N455+ฉะเชิงเทรา!N455+ชลบุรี!N455+ชัยนาท!N455+ตราด!N455+นครนายก!N455+นครปฐม!N455+ปทุมธานี!N455+ประจวบคีรีขันธ์!N455+ปราจีนบุรี!N455+พระนครศรีอยุธยา!N455+เพชรบุรี!N455+ระยอง!N455+ราชบุรี!N455+ลพบุรี!N455+สระแก้ว!N455+สระบุรี!N455+สิงห์บุรี!N455+สุพรรณบุรี!N455+อ่างทอง!N455</f>
        <v>1037962.3599999999</v>
      </c>
      <c r="O455" s="373">
        <f t="shared" ref="O455:O459" ca="1" si="64">+IF(L455&gt;0,N455*100/L455,0)</f>
        <v>18.824253263941014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ญจนบุรี!L456+จันทบุรี!L456+ฉะเชิงเทรา!L456+ชลบุรี!L456+ชัยนาท!L456+ตราด!L456+นครนายก!L456+นครปฐม!L456+ปทุมธานี!L456+ประจวบคีรีขันธ์!L456+ปราจีนบุรี!L456+พระนครศรีอยุธยา!L456+เพชรบุรี!L456+ระยอง!L456+ราชบุรี!L456+ลพบุรี!L456+สระแก้ว!L456+สระบุรี!L456+สิงห์บุรี!L456+สุพรรณบุรี!L456+อ่างทอง!L456</f>
        <v>0</v>
      </c>
      <c r="M456" s="164"/>
      <c r="N456" s="169">
        <f ca="1">กาญจนบุรี!N456+จันทบุรี!N456+ฉะเชิงเทรา!N456+ชลบุรี!N456+ชัยนาท!N456+ตราด!N456+นครนายก!N456+นครปฐม!N456+ปทุมธานี!N456+ประจวบคีรีขันธ์!N456+ปราจีนบุรี!N456+พระนครศรีอยุธยา!N456+เพชรบุรี!N456+ระยอง!N456+ราชบุรี!N456+ลพบุรี!N456+สระแก้ว!N456+สระบุรี!N456+สิงห์บุรี!N456+สุพรรณบุรี!N456+อ่างทอง!N456</f>
        <v>0</v>
      </c>
      <c r="O456" s="169">
        <f t="shared" ca="1" si="64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5513963</v>
      </c>
      <c r="M457" s="165"/>
      <c r="N457" s="169">
        <f ca="1">กาญจนบุรี!N457+จันทบุรี!N457+ฉะเชิงเทรา!N457+ชลบุรี!N457+ชัยนาท!N457+ตราด!N457+นครนายก!N457+นครปฐม!N457+ปทุมธานี!N457+ประจวบคีรีขันธ์!N457+ปราจีนบุรี!N457+พระนครศรีอยุธยา!N457+เพชรบุรี!N457+ระยอง!N457+ราชบุรี!N457+ลพบุรี!N457+สระแก้ว!N457+สระบุรี!N457+สิงห์บุรี!N457+สุพรรณบุรี!N457+อ่างทอง!N457</f>
        <v>1037962.3599999999</v>
      </c>
      <c r="O457" s="169">
        <f t="shared" ca="1" si="64"/>
        <v>18.824253263941014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169"/>
      <c r="N458" s="169">
        <f ca="1">กาญจนบุรี!N458+จันทบุรี!N458+ฉะเชิงเทรา!N458+ชลบุรี!N458+ชัยนาท!N458+ตราด!N458+นครนายก!N458+นครปฐม!N458+ปทุมธานี!N458+ประจวบคีรีขันธ์!N458+ปราจีนบุรี!N458+พระนครศรีอยุธยา!N458+เพชรบุรี!N458+ระยอง!N458+ราชบุรี!N458+ลพบุรี!N458+สระแก้ว!N458+สระบุรี!N458+สิงห์บุรี!N458+สุพรรณบุรี!N458+อ่างทอง!N458</f>
        <v>0</v>
      </c>
      <c r="O458" s="169">
        <f t="shared" ca="1" si="64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5513963</v>
      </c>
      <c r="M459" s="169"/>
      <c r="N459" s="169">
        <f ca="1">กาญจนบุรี!N459+จันทบุรี!N459+ฉะเชิงเทรา!N459+ชลบุรี!N459+ชัยนาท!N459+ตราด!N459+นครนายก!N459+นครปฐม!N459+ปทุมธานี!N459+ประจวบคีรีขันธ์!N459+ปราจีนบุรี!N459+พระนครศรีอยุธยา!N459+เพชรบุรี!N459+ระยอง!N459+ราชบุรี!N459+ลพบุรี!N459+สระแก้ว!N459+สระบุรี!N459+สิงห์บุรี!N459+สุพรรณบุรี!N459+อ่างทอง!N459</f>
        <v>1037962.3599999999</v>
      </c>
      <c r="O459" s="169">
        <f t="shared" ca="1" si="64"/>
        <v>18.824253263941014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กาญจนบุรี!N460+จันทบุรี!N460+ฉะเชิงเทรา!N460+ชลบุรี!N460+ชัยนาท!N460+ตราด!N460+นครนายก!N460+นครปฐม!N460+ปทุมธานี!N460+ประจวบคีรีขันธ์!N460+ปราจีนบุรี!N460+พระนครศรีอยุธยา!N460+เพชรบุรี!N460+ระยอง!N460+ราชบุรี!N460+ลพบุรี!N460+สระแก้ว!N460+สระบุรี!N460+สิงห์บุรี!N460+สุพรรณบุรี!N460+อ่างทอง!N460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กาญจนบุรี!N461+จันทบุรี!N461+ฉะเชิงเทรา!N461+ชลบุรี!N461+ชัยนาท!N461+ตราด!N461+นครนายก!N461+นครปฐม!N461+ปทุมธานี!N461+ประจวบคีรีขันธ์!N461+ปราจีนบุรี!N461+พระนครศรีอยุธยา!N461+เพชรบุรี!N461+ระยอง!N461+ราชบุรี!N461+ลพบุรี!N461+สระแก้ว!N461+สระบุรี!N461+สิงห์บุรี!N461+สุพรรณบุรี!N461+อ่างทอง!N461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กาญจนบุรี!N462+จันทบุรี!N462+ฉะเชิงเทรา!N462+ชลบุรี!N462+ชัยนาท!N462+ตราด!N462+นครนายก!N462+นครปฐม!N462+ปทุมธานี!N462+ประจวบคีรีขันธ์!N462+ปราจีนบุรี!N462+พระนครศรีอยุธยา!N462+เพชรบุรี!N462+ระยอง!N462+ราชบุรี!N462+ลพบุรี!N462+สระแก้ว!N462+สระบุรี!N462+สิงห์บุรี!N462+สุพรรณบุรี!N462+อ่างทอง!N462</f>
        <v>243226.31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กาญจนบุรี!N463+จันทบุรี!N463+ฉะเชิงเทรา!N463+ชลบุรี!N463+ชัยนาท!N463+ตราด!N463+นครนายก!N463+นครปฐม!N463+ปทุมธานี!N463+ประจวบคีรีขันธ์!N463+ปราจีนบุรี!N463+พระนครศรีอยุธยา!N463+เพชรบุรี!N463+ระยอง!N463+ราชบุรี!N463+ลพบุรี!N463+สระแก้ว!N463+สระบุรี!N463+สิงห์บุรี!N463+สุพรรณบุรี!N463+อ่างทอง!N463</f>
        <v>794736.05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กาญจนบุรี!I464+จันทบุรี!I464+ฉะเชิงเทรา!I464+ชลบุรี!I464+ชัยนาท!I464+ตราด!I464+นครนายก!I464+นครปฐม!I464+ปทุมธานี!I464+ประจวบคีรีขันธ์!I464+ปราจีนบุรี!I464+พระนครศรีอยุธยา!I464+เพชรบุรี!I464+ระยอง!I464+ราชบุรี!I464+ลพบุรี!I464+สระแก้ว!I464+สระบุรี!I464+สิงห์บุรี!I464+สุพรรณบุรี!I464+อ่างทอง!I464</f>
        <v>556255</v>
      </c>
      <c r="J464" s="267">
        <f ca="1">กาญจนบุรี!J464+จันทบุรี!J464+ฉะเชิงเทรา!J464+ชลบุรี!J464+ชัยนาท!J464+ตราด!J464+นครนายก!J464+นครปฐม!J464+ปทุมธานี!J464+ประจวบคีรีขันธ์!J464+ปราจีนบุรี!J464+พระนครศรีอยุธยา!J464+เพชรบุรี!J464+ระยอง!J464+ราชบุรี!J464+ลพบุรี!J464+สระแก้ว!J464+สระบุรี!J464+สิงห์บุรี!J464+สุพรรณบุรี!J464+อ่างทอง!J464</f>
        <v>60163.79</v>
      </c>
      <c r="K464" s="268">
        <f t="shared" ref="K464:K515" ca="1" si="65">IF(I464&gt;0,J464*100/I464,0)</f>
        <v>10.815865025932352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ญจนบุรี!I465+จันทบุรี!I465+ฉะเชิงเทรา!I465+ชลบุรี!I465+ชัยนาท!I465+ตราด!I465+นครนายก!I465+นครปฐม!I465+ปทุมธานี!I465+ประจวบคีรีขันธ์!I465+ปราจีนบุรี!I465+พระนครศรีอยุธยา!I465+เพชรบุรี!I465+ระยอง!I465+ราชบุรี!I465+ลพบุรี!I465+สระแก้ว!I465+สระบุรี!I465+สิงห์บุรี!I465+สุพรรณบุรี!I465+อ่างทอง!I465</f>
        <v>556255</v>
      </c>
      <c r="J465" s="420">
        <f ca="1">กาญจนบุรี!J465+จันทบุรี!J465+ฉะเชิงเทรา!J465+ชลบุรี!J465+ชัยนาท!J465+ตราด!J465+นครนายก!J465+นครปฐม!J465+ปทุมธานี!J465+ประจวบคีรีขันธ์!J465+ปราจีนบุรี!J465+พระนครศรีอยุธยา!J465+เพชรบุรี!J465+ระยอง!J465+ราชบุรี!J465+ลพบุรี!J465+สระแก้ว!J465+สระบุรี!J465+สิงห์บุรี!J465+สุพรรณบุรี!J465+อ่างทอง!J465</f>
        <v>464251.52549999987</v>
      </c>
      <c r="K465" s="202">
        <f t="shared" ca="1" si="65"/>
        <v>83.460198200465598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45637</v>
      </c>
      <c r="J466" s="420">
        <f ca="1"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39433</v>
      </c>
      <c r="K466" s="202">
        <f t="shared" ca="1" si="65"/>
        <v>86.405767250257469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ญจนบุรี!I467+จันทบุรี!I467+ฉะเชิงเทรา!I467+ชลบุรี!I467+ชัยนาท!I467+ตราด!I467+นครนายก!I467+นครปฐม!I467+ปทุมธานี!I467+ประจวบคีรีขันธ์!I467+ปราจีนบุรี!I467+พระนครศรีอยุธยา!I467+เพชรบุรี!I467+ระยอง!I467+ราชบุรี!I467+ลพบุรี!I467+สระแก้ว!I467+สระบุรี!I467+สิงห์บุรี!I467+สุพรรณบุรี!I467+อ่างทอง!I467</f>
        <v>0</v>
      </c>
      <c r="J467" s="189">
        <f ca="1">กาญจนบุรี!J467+จันทบุรี!J467+ฉะเชิงเทรา!J467+ชลบุรี!J467+ชัยนาท!J467+ตราด!J467+นครนายก!J467+นครปฐม!J467+ปทุมธานี!J467+ประจวบคีรีขันธ์!J467+ปราจีนบุรี!J467+พระนครศรีอยุธยา!J467+เพชรบุรี!J467+ระยอง!J467+ราชบุรี!J467+ลพบุรี!J467+สระแก้ว!J467+สระบุรี!J467+สิงห์บุรี!J467+สุพรรณบุรี!J467+อ่างทอง!J467</f>
        <v>359496.04500000004</v>
      </c>
      <c r="K467" s="163">
        <f t="shared" ca="1" si="65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189">
        <f ca="1"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31959</v>
      </c>
      <c r="K468" s="163">
        <f t="shared" ca="1" si="65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189">
        <f ca="1"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88294.032999999996</v>
      </c>
      <c r="K469" s="163">
        <f t="shared" ca="1" si="65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189">
        <f ca="1"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6163</v>
      </c>
      <c r="K470" s="163">
        <f t="shared" ca="1" si="65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189">
        <f ca="1"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16461.447500000002</v>
      </c>
      <c r="K471" s="163">
        <f t="shared" ca="1" si="65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189">
        <f ca="1"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1311</v>
      </c>
      <c r="K472" s="163">
        <f t="shared" ca="1" si="65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556255</v>
      </c>
      <c r="J473" s="420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349574.67499999987</v>
      </c>
      <c r="K473" s="202">
        <f t="shared" ca="1" si="65"/>
        <v>62.844320500489857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45637</v>
      </c>
      <c r="J474" s="420">
        <f ca="1"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30227</v>
      </c>
      <c r="K474" s="202">
        <f t="shared" ca="1" si="65"/>
        <v>66.233538576155311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0</v>
      </c>
      <c r="J475" s="189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275252.07250000001</v>
      </c>
      <c r="K475" s="163">
        <f t="shared" ca="1" si="65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ญจนบุรี!I476+จันทบุรี!I476+ฉะเชิงเทรา!I476+ชลบุรี!I476+ชัยนาท!I476+ตราด!I476+นครนายก!I476+นครปฐม!I476+ปทุมธานี!I476+ประจวบคีรีขันธ์!I476+ปราจีนบุรี!I476+พระนครศรีอยุธยา!I476+เพชรบุรี!I476+ระยอง!I476+ราชบุรี!I476+ลพบุรี!I476+สระแก้ว!I476+สระบุรี!I476+สิงห์บุรี!I476+สุพรรณบุรี!I476+อ่างทอง!I476</f>
        <v>0</v>
      </c>
      <c r="J476" s="189">
        <f ca="1">กาญจนบุรี!J476+จันทบุรี!J476+ฉะเชิงเทรา!J476+ชลบุรี!J476+ชัยนาท!J476+ตราด!J476+นครนายก!J476+นครปฐม!J476+ปทุมธานี!J476+ประจวบคีรีขันธ์!J476+ปราจีนบุรี!J476+พระนครศรีอยุธยา!J476+เพชรบุรี!J476+ระยอง!J476+ราชบุรี!J476+ลพบุรี!J476+สระแก้ว!J476+สระบุรี!J476+สิงห์บุรี!J476+สุพรรณบุรี!J476+อ่างทอง!J476</f>
        <v>25238</v>
      </c>
      <c r="K476" s="163">
        <f t="shared" ca="1" si="65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ญจนบุรี!I477+จันทบุรี!I477+ฉะเชิงเทรา!I477+ชลบุรี!I477+ชัยนาท!I477+ตราด!I477+นครนายก!I477+นครปฐม!I477+ปทุมธานี!I477+ประจวบคีรีขันธ์!I477+ปราจีนบุรี!I477+พระนครศรีอยุธยา!I477+เพชรบุรี!I477+ระยอง!I477+ราชบุรี!I477+ลพบุรี!I477+สระแก้ว!I477+สระบุรี!I477+สิงห์บุรี!I477+สุพรรณบุรี!I477+อ่างทอง!I477</f>
        <v>0</v>
      </c>
      <c r="J477" s="189">
        <f ca="1">กาญจนบุรี!J477+จันทบุรี!J477+ฉะเชิงเทรา!J477+ชลบุรี!J477+ชัยนาท!J477+ตราด!J477+นครนายก!J477+นครปฐม!J477+ปทุมธานี!J477+ประจวบคีรีขันธ์!J477+ปราจีนบุรี!J477+พระนครศรีอยุธยา!J477+เพชรบุรี!J477+ระยอง!J477+ราชบุรี!J477+ลพบุรี!J477+สระแก้ว!J477+สระบุรี!J477+สิงห์บุรี!J477+สุพรรณบุรี!J477+อ่างทอง!J477</f>
        <v>61798.13</v>
      </c>
      <c r="K477" s="163">
        <f t="shared" ca="1" si="65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ญจนบุรี!I478+จันทบุรี!I478+ฉะเชิงเทรา!I478+ชลบุรี!I478+ชัยนาท!I478+ตราด!I478+นครนายก!I478+นครปฐม!I478+ปทุมธานี!I478+ประจวบคีรีขันธ์!I478+ปราจีนบุรี!I478+พระนครศรีอยุธยา!I478+เพชรบุรี!I478+ระยอง!I478+ราชบุรี!I478+ลพบุรี!I478+สระแก้ว!I478+สระบุรี!I478+สิงห์บุรี!I478+สุพรรณบุรี!I478+อ่างทอง!I478</f>
        <v>0</v>
      </c>
      <c r="J478" s="189">
        <f ca="1">กาญจนบุรี!J478+จันทบุรี!J478+ฉะเชิงเทรา!J478+ชลบุรี!J478+ชัยนาท!J478+ตราด!J478+นครนายก!J478+นครปฐม!J478+ปทุมธานี!J478+ประจวบคีรีขันธ์!J478+ปราจีนบุรี!J478+พระนครศรีอยุธยา!J478+เพชรบุรี!J478+ระยอง!J478+ราชบุรี!J478+ลพบุรี!J478+สระแก้ว!J478+สระบุรี!J478+สิงห์บุรี!J478+สุพรรณบุรี!J478+อ่างทอง!J478</f>
        <v>3963</v>
      </c>
      <c r="K478" s="163">
        <f t="shared" ca="1" si="65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ญจนบุรี!I479+จันทบุรี!I479+ฉะเชิงเทรา!I479+ชลบุรี!I479+ชัยนาท!I479+ตราด!I479+นครนายก!I479+นครปฐม!I479+ปทุมธานี!I479+ประจวบคีรีขันธ์!I479+ปราจีนบุรี!I479+พระนครศรีอยุธยา!I479+เพชรบุรี!I479+ระยอง!I479+ราชบุรี!I479+ลพบุรี!I479+สระแก้ว!I479+สระบุรี!I479+สิงห์บุรี!I479+สุพรรณบุรี!I479+อ่างทอง!I479</f>
        <v>0</v>
      </c>
      <c r="J479" s="189">
        <f ca="1">กาญจนบุรี!J479+จันทบุรี!J479+ฉะเชิงเทรา!J479+ชลบุรี!J479+ชัยนาท!J479+ตราด!J479+นครนายก!J479+นครปฐม!J479+ปทุมธานี!J479+ประจวบคีรีขันธ์!J479+ปราจีนบุรี!J479+พระนครศรีอยุธยา!J479+เพชรบุรี!J479+ระยอง!J479+ราชบุรี!J479+ลพบุรี!J479+สระแก้ว!J479+สระบุรี!J479+สิงห์บุรี!J479+สุพรรณบุรี!J479+อ่างทอง!J479</f>
        <v>12524.4725</v>
      </c>
      <c r="K479" s="163">
        <f t="shared" ca="1" si="65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ญจนบุรี!I480+จันทบุรี!I480+ฉะเชิงเทรา!I480+ชลบุรี!I480+ชัยนาท!I480+ตราด!I480+นครนายก!I480+นครปฐม!I480+ปทุมธานี!I480+ประจวบคีรีขันธ์!I480+ปราจีนบุรี!I480+พระนครศรีอยุธยา!I480+เพชรบุรี!I480+ระยอง!I480+ราชบุรี!I480+ลพบุรี!I480+สระแก้ว!I480+สระบุรี!I480+สิงห์บุรี!I480+สุพรรณบุรี!I480+อ่างทอง!I480</f>
        <v>0</v>
      </c>
      <c r="J480" s="189">
        <f ca="1">กาญจนบุรี!J480+จันทบุรี!J480+ฉะเชิงเทรา!J480+ชลบุรี!J480+ชัยนาท!J480+ตราด!J480+นครนายก!J480+นครปฐม!J480+ปทุมธานี!J480+ประจวบคีรีขันธ์!J480+ปราจีนบุรี!J480+พระนครศรีอยุธยา!J480+เพชรบุรี!J480+ระยอง!J480+ราชบุรี!J480+ลพบุรี!J480+สระแก้ว!J480+สระบุรี!J480+สิงห์บุรี!J480+สุพรรณบุรี!J480+อ่างทอง!J480</f>
        <v>1026</v>
      </c>
      <c r="K480" s="163">
        <f t="shared" ca="1" si="65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ญจนบุรี!I481+จันทบุรี!I481+ฉะเชิงเทรา!I481+ชลบุรี!I481+ชัยนาท!I481+ตราด!I481+นครนายก!I481+นครปฐม!I481+ปทุมธานี!I481+ประจวบคีรีขันธ์!I481+ปราจีนบุรี!I481+พระนครศรีอยุธยา!I481+เพชรบุรี!I481+ระยอง!I481+ราชบุรี!I481+ลพบุรี!I481+สระแก้ว!I481+สระบุรี!I481+สิงห์บุรี!I481+สุพรรณบุรี!I481+อ่างทอง!I481</f>
        <v>556255</v>
      </c>
      <c r="J481" s="420">
        <f ca="1">กาญจนบุรี!J481+จันทบุรี!J481+ฉะเชิงเทรา!J481+ชลบุรี!J481+ชัยนาท!J481+ตราด!J481+นครนายก!J481+นครปฐม!J481+ปทุมธานี!J481+ประจวบคีรีขันธ์!J481+ปราจีนบุรี!J481+พระนครศรีอยุธยา!J481+เพชรบุรี!J481+ระยอง!J481+ราชบุรี!J481+ลพบุรี!J481+สระแก้ว!J481+สระบุรี!J481+สิงห์บุรี!J481+สุพรรณบุรี!J481+อ่างทอง!J481</f>
        <v>60163.79</v>
      </c>
      <c r="K481" s="202">
        <f t="shared" ca="1" si="65"/>
        <v>10.815865025932352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45637</v>
      </c>
      <c r="J482" s="420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7366</v>
      </c>
      <c r="K482" s="202">
        <f t="shared" ca="1" si="65"/>
        <v>16.140412384687863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189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52015.56</v>
      </c>
      <c r="K483" s="163">
        <f t="shared" ca="1" si="65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0</v>
      </c>
      <c r="J484" s="189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6401</v>
      </c>
      <c r="K484" s="163">
        <f t="shared" ca="1" si="65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189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6291.53</v>
      </c>
      <c r="K485" s="163">
        <f t="shared" ca="1" si="65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0</v>
      </c>
      <c r="J486" s="189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718</v>
      </c>
      <c r="K486" s="163">
        <f t="shared" ca="1" si="65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420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1856.7</v>
      </c>
      <c r="K487" s="163">
        <f t="shared" ca="1" si="65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0</v>
      </c>
      <c r="J488" s="420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247</v>
      </c>
      <c r="K488" s="163">
        <f t="shared" ca="1" si="65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189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1834.7</v>
      </c>
      <c r="K489" s="163">
        <f t="shared" ca="1" si="65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0</v>
      </c>
      <c r="J490" s="189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244</v>
      </c>
      <c r="K490" s="163">
        <f t="shared" ca="1" si="65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189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22</v>
      </c>
      <c r="K491" s="163">
        <f t="shared" ca="1" si="65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0</v>
      </c>
      <c r="J492" s="189">
        <f ca="1"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3</v>
      </c>
      <c r="K492" s="163">
        <f t="shared" ca="1" si="65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ญจนบุรี!I493+จันทบุรี!I493+ฉะเชิงเทรา!I493+ชลบุรี!I493+ชัยนาท!I493+ตราด!I493+นครนายก!I493+นครปฐม!I493+ปทุมธานี!I493+ประจวบคีรีขันธ์!I493+ปราจีนบุรี!I493+พระนครศรีอยุธยา!I493+เพชรบุรี!I493+ระยอง!I493+ราชบุรี!I493+ลพบุรี!I493+สระแก้ว!I493+สระบุรี!I493+สิงห์บุรี!I493+สุพรรณบุรี!I493+อ่างทอง!I493</f>
        <v>0</v>
      </c>
      <c r="J493" s="189">
        <f ca="1">กาญจนบุรี!J493+จันทบุรี!J493+ฉะเชิงเทรา!J493+ชลบุรี!J493+ชัยนาท!J493+ตราด!J493+นครนายก!J493+นครปฐม!J493+ปทุมธานี!J493+ประจวบคีรีขันธ์!J493+ปราจีนบุรี!J493+พระนครศรีอยุธยา!J493+เพชรบุรี!J493+ระยอง!J493+ราชบุรี!J493+ลพบุรี!J493+สระแก้ว!J493+สระบุรี!J493+สิงห์บุรี!J493+สุพรรณบุรี!J493+อ่างทอง!J493</f>
        <v>0</v>
      </c>
      <c r="K493" s="163">
        <f t="shared" ca="1" si="65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ญจนบุรี!I494+จันทบุรี!I494+ฉะเชิงเทรา!I494+ชลบุรี!I494+ชัยนาท!I494+ตราด!I494+นครนายก!I494+นครปฐม!I494+ปทุมธานี!I494+ประจวบคีรีขันธ์!I494+ปราจีนบุรี!I494+พระนครศรีอยุธยา!I494+เพชรบุรี!I494+ระยอง!I494+ราชบุรี!I494+ลพบุรี!I494+สระแก้ว!I494+สระบุรี!I494+สิงห์บุรี!I494+สุพรรณบุรี!I494+อ่างทอง!I494</f>
        <v>0</v>
      </c>
      <c r="J494" s="436">
        <f ca="1">กาญจนบุรี!J494+จันทบุรี!J494+ฉะเชิงเทรา!J494+ชลบุรี!J494+ชัยนาท!J494+ตราด!J494+นครนายก!J494+นครปฐม!J494+ปทุมธานี!J494+ประจวบคีรีขันธ์!J494+ปราจีนบุรี!J494+พระนครศรีอยุธยา!J494+เพชรบุรี!J494+ระยอง!J494+ราชบุรี!J494+ลพบุรี!J494+สระแก้ว!J494+สระบุรี!J494+สิงห์บุรี!J494+สุพรรณบุรี!J494+อ่างทอง!J494</f>
        <v>0</v>
      </c>
      <c r="K494" s="288">
        <f t="shared" ca="1" si="65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ญจนบุรี!I495+จันทบุรี!I495+ฉะเชิงเทรา!I495+ชลบุรี!I495+ชัยนาท!I495+ตราด!I495+นครนายก!I495+นครปฐม!I495+ปทุมธานี!I495+ประจวบคีรีขันธ์!I495+ปราจีนบุรี!I495+พระนครศรีอยุธยา!I495+เพชรบุรี!I495+ระยอง!I495+ราชบุรี!I495+ลพบุรี!I495+สระแก้ว!I495+สระบุรี!I495+สิงห์บุรี!I495+สุพรรณบุรี!I495+อ่างทอง!I495</f>
        <v>0</v>
      </c>
      <c r="J495" s="436">
        <f ca="1">กาญจนบุรี!J495+จันทบุรี!J495+ฉะเชิงเทรา!J495+ชลบุรี!J495+ชัยนาท!J495+ตราด!J495+นครนายก!J495+นครปฐม!J495+ปทุมธานี!J495+ประจวบคีรีขันธ์!J495+ปราจีนบุรี!J495+พระนครศรีอยุธยา!J495+เพชรบุรี!J495+ระยอง!J495+ราชบุรี!J495+ลพบุรี!J495+สระแก้ว!J495+สระบุรี!J495+สิงห์บุรี!J495+สุพรรณบุรี!J495+อ่างทอง!J495</f>
        <v>0</v>
      </c>
      <c r="K495" s="163">
        <f t="shared" ca="1" si="65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ญจนบุรี!I496+จันทบุรี!I496+ฉะเชิงเทรา!I496+ชลบุรี!I496+ชัยนาท!I496+ตราด!I496+นครนายก!I496+นครปฐม!I496+ปทุมธานี!I496+ประจวบคีรีขันธ์!I496+ปราจีนบุรี!I496+พระนครศรีอยุธยา!I496+เพชรบุรี!I496+ระยอง!I496+ราชบุรี!I496+ลพบุรี!I496+สระแก้ว!I496+สระบุรี!I496+สิงห์บุรี!I496+สุพรรณบุรี!I496+อ่างทอง!I496</f>
        <v>0</v>
      </c>
      <c r="J496" s="436">
        <f ca="1">กาญจนบุรี!J496+จันทบุรี!J496+ฉะเชิงเทรา!J496+ชลบุรี!J496+ชัยนาท!J496+ตราด!J496+นครนายก!J496+นครปฐม!J496+ปทุมธานี!J496+ประจวบคีรีขันธ์!J496+ปราจีนบุรี!J496+พระนครศรีอยุธยา!J496+เพชรบุรี!J496+ระยอง!J496+ราชบุรี!J496+ลพบุรี!J496+สระแก้ว!J496+สระบุรี!J496+สิงห์บุรี!J496+สุพรรณบุรี!J496+อ่างทอง!J496</f>
        <v>0</v>
      </c>
      <c r="K496" s="288">
        <f t="shared" ca="1" si="65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ญจนบุรี!I497+จันทบุรี!I497+ฉะเชิงเทรา!I497+ชลบุรี!I497+ชัยนาท!I497+ตราด!I497+นครนายก!I497+นครปฐม!I497+ปทุมธานี!I497+ประจวบคีรีขันธ์!I497+ปราจีนบุรี!I497+พระนครศรีอยุธยา!I497+เพชรบุรี!I497+ระยอง!I497+ราชบุรี!I497+ลพบุรี!I497+สระแก้ว!I497+สระบุรี!I497+สิงห์บุรี!I497+สุพรรณบุรี!I497+อ่างทอง!I497</f>
        <v>58622</v>
      </c>
      <c r="J497" s="443">
        <f ca="1">กาญจนบุรี!J497+จันทบุรี!J497+ฉะเชิงเทรา!J497+ชลบุรี!J497+ชัยนาท!J497+ตราด!J497+นครนายก!J497+นครปฐม!J497+ปทุมธานี!J497+ประจวบคีรีขันธ์!J497+ปราจีนบุรี!J497+พระนครศรีอยุธยา!J497+เพชรบุรี!J497+ระยอง!J497+ราชบุรี!J497+ลพบุรี!J497+สระแก้ว!J497+สระบุรี!J497+สิงห์บุรี!J497+สุพรรณบุรี!J497+อ่างทอง!J497</f>
        <v>6973</v>
      </c>
      <c r="K497" s="444">
        <f t="shared" ca="1" si="65"/>
        <v>11.894851762137082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ญจนบุรี!I498+จันทบุรี!I498+ฉะเชิงเทรา!I498+ชลบุรี!I498+ชัยนาท!I498+ตราด!I498+นครนายก!I498+นครปฐม!I498+ปทุมธานี!I498+ประจวบคีรีขันธ์!I498+ปราจีนบุรี!I498+พระนครศรีอยุธยา!I498+เพชรบุรี!I498+ระยอง!I498+ราชบุรี!I498+ลพบุรี!I498+สระแก้ว!I498+สระบุรี!I498+สิงห์บุรี!I498+สุพรรณบุรี!I498+อ่างทอง!I498</f>
        <v>58622</v>
      </c>
      <c r="J498" s="420">
        <f ca="1">กาญจนบุรี!J498+จันทบุรี!J498+ฉะเชิงเทรา!J498+ชลบุรี!J498+ชัยนาท!J498+ตราด!J498+นครนายก!J498+นครปฐม!J498+ปทุมธานี!J498+ประจวบคีรีขันธ์!J498+ปราจีนบุรี!J498+พระนครศรีอยุธยา!J498+เพชรบุรี!J498+ระยอง!J498+ราชบุรี!J498+ลพบุรี!J498+สระแก้ว!J498+สระบุรี!J498+สิงห์บุรี!J498+สุพรรณบุรี!J498+อ่างทอง!J498</f>
        <v>6973</v>
      </c>
      <c r="K498" s="202">
        <f t="shared" ca="1" si="65"/>
        <v>11.894851762137082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ญจนบุรี!I499+จันทบุรี!I499+ฉะเชิงเทรา!I499+ชลบุรี!I499+ชัยนาท!I499+ตราด!I499+นครนายก!I499+นครปฐม!I499+ปทุมธานี!I499+ประจวบคีรีขันธ์!I499+ปราจีนบุรี!I499+พระนครศรีอยุธยา!I499+เพชรบุรี!I499+ระยอง!I499+ราชบุรี!I499+ลพบุรี!I499+สระแก้ว!I499+สระบุรี!I499+สิงห์บุรี!I499+สุพรรณบุรี!I499+อ่างทอง!I499</f>
        <v>3783</v>
      </c>
      <c r="J499" s="420">
        <f ca="1">กาญจนบุรี!J499+จันทบุรี!J499+ฉะเชิงเทรา!J499+ชลบุรี!J499+ชัยนาท!J499+ตราด!J499+นครนายก!J499+นครปฐม!J499+ปทุมธานี!J499+ประจวบคีรีขันธ์!J499+ปราจีนบุรี!J499+พระนครศรีอยุธยา!J499+เพชรบุรี!J499+ระยอง!J499+ราชบุรี!J499+ลพบุรี!J499+สระแก้ว!J499+สระบุรี!J499+สิงห์บุรี!J499+สุพรรณบุรี!J499+อ่างทอง!J499</f>
        <v>511</v>
      </c>
      <c r="K499" s="202">
        <f t="shared" ca="1" si="65"/>
        <v>13.507798043880518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ญจนบุรี!I500+จันทบุรี!I500+ฉะเชิงเทรา!I500+ชลบุรี!I500+ชัยนาท!I500+ตราด!I500+นครนายก!I500+นครปฐม!I500+ปทุมธานี!I500+ประจวบคีรีขันธ์!I500+ปราจีนบุรี!I500+พระนครศรีอยุธยา!I500+เพชรบุรี!I500+ระยอง!I500+ราชบุรี!I500+ลพบุรี!I500+สระแก้ว!I500+สระบุรี!I500+สิงห์บุรี!I500+สุพรรณบุรี!I500+อ่างทอง!I500</f>
        <v>0</v>
      </c>
      <c r="J500" s="162">
        <f ca="1"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6287</v>
      </c>
      <c r="K500" s="163">
        <f t="shared" ca="1" si="65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ญจนบุรี!I501+จันทบุรี!I501+ฉะเชิงเทรา!I501+ชลบุรี!I501+ชัยนาท!I501+ตราด!I501+นครนายก!I501+นครปฐม!I501+ปทุมธานี!I501+ประจวบคีรีขันธ์!I501+ปราจีนบุรี!I501+พระนครศรีอยุธยา!I501+เพชรบุรี!I501+ระยอง!I501+ราชบุรี!I501+ลพบุรี!I501+สระแก้ว!I501+สระบุรี!I501+สิงห์บุรี!I501+สุพรรณบุรี!I501+อ่างทอง!I501</f>
        <v>0</v>
      </c>
      <c r="J501" s="162">
        <f ca="1"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401</v>
      </c>
      <c r="K501" s="163">
        <f t="shared" ca="1" si="65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ญจนบุรี!I502+จันทบุรี!I502+ฉะเชิงเทรา!I502+ชลบุรี!I502+ชัยนาท!I502+ตราด!I502+นครนายก!I502+นครปฐม!I502+ปทุมธานี!I502+ประจวบคีรีขันธ์!I502+ปราจีนบุรี!I502+พระนครศรีอยุธยา!I502+เพชรบุรี!I502+ระยอง!I502+ราชบุรี!I502+ลพบุรี!I502+สระแก้ว!I502+สระบุรี!I502+สิงห์บุรี!I502+สุพรรณบุรี!I502+อ่างทอง!I502</f>
        <v>0</v>
      </c>
      <c r="J502" s="189">
        <f ca="1"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6282</v>
      </c>
      <c r="K502" s="163">
        <f t="shared" ca="1" si="65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ญจนบุรี!I503+จันทบุรี!I503+ฉะเชิงเทรา!I503+ชลบุรี!I503+ชัยนาท!I503+ตราด!I503+นครนายก!I503+นครปฐม!I503+ปทุมธานี!I503+ประจวบคีรีขันธ์!I503+ปราจีนบุรี!I503+พระนครศรีอยุธยา!I503+เพชรบุรี!I503+ระยอง!I503+ราชบุรี!I503+ลพบุรี!I503+สระแก้ว!I503+สระบุรี!I503+สิงห์บุรี!I503+สุพรรณบุรี!I503+อ่างทอง!I503</f>
        <v>0</v>
      </c>
      <c r="J503" s="198">
        <f ca="1"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400</v>
      </c>
      <c r="K503" s="163">
        <f t="shared" ca="1" si="65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0</v>
      </c>
      <c r="J504" s="189">
        <f ca="1"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5</v>
      </c>
      <c r="K504" s="163">
        <f t="shared" ca="1" si="65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ญจนบุรี!I505+จันทบุรี!I505+ฉะเชิงเทรา!I505+ชลบุรี!I505+ชัยนาท!I505+ตราด!I505+นครนายก!I505+นครปฐม!I505+ปทุมธานี!I505+ประจวบคีรีขันธ์!I505+ปราจีนบุรี!I505+พระนครศรีอยุธยา!I505+เพชรบุรี!I505+ระยอง!I505+ราชบุรี!I505+ลพบุรี!I505+สระแก้ว!I505+สระบุรี!I505+สิงห์บุรี!I505+สุพรรณบุรี!I505+อ่างทอง!I505</f>
        <v>0</v>
      </c>
      <c r="J505" s="198">
        <f ca="1"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1</v>
      </c>
      <c r="K505" s="163">
        <f t="shared" ca="1" si="65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0</v>
      </c>
      <c r="J506" s="189">
        <f ca="1"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0</v>
      </c>
      <c r="K506" s="163">
        <f t="shared" ca="1" si="65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ญจนบุรี!I507+จันทบุรี!I507+ฉะเชิงเทรา!I507+ชลบุรี!I507+ชัยนาท!I507+ตราด!I507+นครนายก!I507+นครปฐม!I507+ปทุมธานี!I507+ประจวบคีรีขันธ์!I507+ปราจีนบุรี!I507+พระนครศรีอยุธยา!I507+เพชรบุรี!I507+ระยอง!I507+ราชบุรี!I507+ลพบุรี!I507+สระแก้ว!I507+สระบุรี!I507+สิงห์บุรี!I507+สุพรรณบุรี!I507+อ่างทอง!I507</f>
        <v>0</v>
      </c>
      <c r="J507" s="198">
        <f ca="1"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0</v>
      </c>
      <c r="K507" s="163">
        <f t="shared" ca="1" si="65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ญจนบุรี!I508+จันทบุรี!I508+ฉะเชิงเทรา!I508+ชลบุรี!I508+ชัยนาท!I508+ตราด!I508+นครนายก!I508+นครปฐม!I508+ปทุมธานี!I508+ประจวบคีรีขันธ์!I508+ปราจีนบุรี!I508+พระนครศรีอยุธยา!I508+เพชรบุรี!I508+ระยอง!I508+ราชบุรี!I508+ลพบุรี!I508+สระแก้ว!I508+สระบุรี!I508+สิงห์บุรี!I508+สุพรรณบุรี!I508+อ่างทอง!I508</f>
        <v>0</v>
      </c>
      <c r="J508" s="162">
        <f ca="1"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182</v>
      </c>
      <c r="K508" s="163">
        <f t="shared" ca="1" si="65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ญจนบุรี!I509+จันทบุรี!I509+ฉะเชิงเทรา!I509+ชลบุรี!I509+ชัยนาท!I509+ตราด!I509+นครนายก!I509+นครปฐม!I509+ปทุมธานี!I509+ประจวบคีรีขันธ์!I509+ปราจีนบุรี!I509+พระนครศรีอยุธยา!I509+เพชรบุรี!I509+ระยอง!I509+ราชบุรี!I509+ลพบุรี!I509+สระแก้ว!I509+สระบุรี!I509+สิงห์บุรี!I509+สุพรรณบุรี!I509+อ่างทอง!I509</f>
        <v>0</v>
      </c>
      <c r="J509" s="162">
        <f ca="1"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9</v>
      </c>
      <c r="K509" s="163">
        <f t="shared" ca="1" si="65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ญจนบุรี!I510+จันทบุรี!I510+ฉะเชิงเทรา!I510+ชลบุรี!I510+ชัยนาท!I510+ตราด!I510+นครนายก!I510+นครปฐม!I510+ปทุมธานี!I510+ประจวบคีรีขันธ์!I510+ปราจีนบุรี!I510+พระนครศรีอยุธยา!I510+เพชรบุรี!I510+ระยอง!I510+ราชบุรี!I510+ลพบุรี!I510+สระแก้ว!I510+สระบุรี!I510+สิงห์บุรี!I510+สุพรรณบุรี!I510+อ่างทอง!I510</f>
        <v>0</v>
      </c>
      <c r="J510" s="198">
        <f ca="1"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182</v>
      </c>
      <c r="K510" s="163">
        <f t="shared" ca="1" si="65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ญจนบุรี!I511+จันทบุรี!I511+ฉะเชิงเทรา!I511+ชลบุรี!I511+ชัยนาท!I511+ตราด!I511+นครนายก!I511+นครปฐม!I511+ปทุมธานี!I511+ประจวบคีรีขันธ์!I511+ปราจีนบุรี!I511+พระนครศรีอยุธยา!I511+เพชรบุรี!I511+ระยอง!I511+ราชบุรี!I511+ลพบุรี!I511+สระแก้ว!I511+สระบุรี!I511+สิงห์บุรี!I511+สุพรรณบุรี!I511+อ่างทอง!I511</f>
        <v>0</v>
      </c>
      <c r="J511" s="198">
        <f ca="1"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9</v>
      </c>
      <c r="K511" s="163">
        <f t="shared" ca="1" si="65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ญจนบุรี!I512+จันทบุรี!I512+ฉะเชิงเทรา!I512+ชลบุรี!I512+ชัยนาท!I512+ตราด!I512+นครนายก!I512+นครปฐม!I512+ปทุมธานี!I512+ประจวบคีรีขันธ์!I512+ปราจีนบุรี!I512+พระนครศรีอยุธยา!I512+เพชรบุรี!I512+ระยอง!I512+ราชบุรี!I512+ลพบุรี!I512+สระแก้ว!I512+สระบุรี!I512+สิงห์บุรี!I512+สุพรรณบุรี!I512+อ่างทอง!I512</f>
        <v>0</v>
      </c>
      <c r="J512" s="198">
        <f ca="1"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0</v>
      </c>
      <c r="K512" s="163">
        <f t="shared" ca="1" si="65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0</v>
      </c>
      <c r="J513" s="198">
        <f ca="1"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0</v>
      </c>
      <c r="K513" s="163">
        <f t="shared" ca="1" si="65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ญจนบุรี!I514+จันทบุรี!I514+ฉะเชิงเทรา!I514+ชลบุรี!I514+ชัยนาท!I514+ตราด!I514+นครนายก!I514+นครปฐม!I514+ปทุมธานี!I514+ประจวบคีรีขันธ์!I514+ปราจีนบุรี!I514+พระนครศรีอยุธยา!I514+เพชรบุรี!I514+ระยอง!I514+ราชบุรี!I514+ลพบุรี!I514+สระแก้ว!I514+สระบุรี!I514+สิงห์บุรี!I514+สุพรรณบุรี!I514+อ่างทอง!I514</f>
        <v>0</v>
      </c>
      <c r="J514" s="198">
        <f ca="1"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504</v>
      </c>
      <c r="K514" s="163">
        <f t="shared" ca="1" si="65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0</v>
      </c>
      <c r="J515" s="198">
        <f ca="1"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101</v>
      </c>
      <c r="K515" s="163">
        <f t="shared" ca="1" si="65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กาญจนบุรี!I516+จันทบุรี!I516+ฉะเชิงเทรา!I516+ชลบุรี!I516+ชัยนาท!I516+ตราด!I516+นครนายก!I516+นครปฐม!I516+ปทุมธานี!I516+ประจวบคีรีขันธ์!I516+ปราจีนบุรี!I516+พระนครศรีอยุธยา!I516+เพชรบุรี!I516+ระยอง!I516+ราชบุรี!I516+ลพบุรี!I516+สระแก้ว!I516+สระบุรี!I516+สิงห์บุรี!I516+สุพรรณบุรี!I516+อ่างทอง!I516</f>
        <v>0</v>
      </c>
      <c r="J516" s="267">
        <f ca="1"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าญจนบุรี!I517+จันทบุรี!I517+ฉะเชิงเทรา!I517+ชลบุรี!I517+ชัยนาท!I517+ตราด!I517+นครนายก!I517+นครปฐม!I517+ปทุมธานี!I517+ประจวบคีรีขันธ์!I517+ปราจีนบุรี!I517+พระนครศรีอยุธยา!I517+เพชรบุรี!I517+ระยอง!I517+ราชบุรี!I517+ลพบุรี!I517+สระแก้ว!I517+สระบุรี!I517+สิงห์บุรี!I517+สุพรรณบุรี!I517+อ่างทอง!I517</f>
        <v>0</v>
      </c>
      <c r="J517" s="284">
        <f ca="1"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าญจนบุรี!I518+จันทบุรี!I518+ฉะเชิงเทรา!I518+ชลบุรี!I518+ชัยนาท!I518+ตราด!I518+นครนายก!I518+นครปฐม!I518+ปทุมธานี!I518+ประจวบคีรีขันธ์!I518+ปราจีนบุรี!I518+พระนครศรีอยุธยา!I518+เพชรบุรี!I518+ระยอง!I518+ราชบุรี!I518+ลพบุรี!I518+สระแก้ว!I518+สระบุรี!I518+สิงห์บุรี!I518+สุพรรณบุรี!I518+อ่างทอง!I518</f>
        <v>0</v>
      </c>
      <c r="J518" s="284">
        <f ca="1"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กาญจนบุรี!I519+จันทบุรี!I519+ฉะเชิงเทรา!I519+ชลบุรี!I519+ชัยนาท!I519+ตราด!I519+นครนายก!I519+นครปฐม!I519+ปทุมธานี!I519+ประจวบคีรีขันธ์!I519+ปราจีนบุรี!I519+พระนครศรีอยุธยา!I519+เพชรบุรี!I519+ระยอง!I519+ราชบุรี!I519+ลพบุรี!I519+สระแก้ว!I519+สระบุรี!I519+สิงห์บุรี!I519+สุพรรณบุรี!I519+อ่างทอง!I519</f>
        <v>0</v>
      </c>
      <c r="J519" s="188">
        <f ca="1"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ญจนบุรี!I520+จันทบุรี!I520+ฉะเชิงเทรา!I520+ชลบุรี!I520+ชัยนาท!I520+ตราด!I520+นครนายก!I520+นครปฐม!I520+ปทุมธานี!I520+ประจวบคีรีขันธ์!I520+ปราจีนบุรี!I520+พระนครศรีอยุธยา!I520+เพชรบุรี!I520+ระยอง!I520+ราชบุรี!I520+ลพบุรี!I520+สระแก้ว!I520+สระบุรี!I520+สิงห์บุรี!I520+สุพรรณบุรี!I520+อ่างทอง!I520</f>
        <v>0</v>
      </c>
      <c r="J520" s="188">
        <f ca="1"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0</v>
      </c>
      <c r="J521" s="188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0</v>
      </c>
      <c r="J522" s="188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0</v>
      </c>
      <c r="J523" s="188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5531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0</v>
      </c>
      <c r="J524" s="188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175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5531</v>
      </c>
      <c r="J525" s="284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4522.41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175</v>
      </c>
      <c r="J526" s="284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117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0</v>
      </c>
      <c r="J527" s="198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4372.76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0</v>
      </c>
      <c r="J528" s="198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106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0</v>
      </c>
      <c r="J529" s="198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0</v>
      </c>
      <c r="J530" s="198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กาญจนบุรี!I531+จันทบุรี!I531+ฉะเชิงเทรา!I531+ชลบุรี!I531+ชัยนาท!I531+ตราด!I531+นครนายก!I531+นครปฐม!I531+ปทุมธานี!I531+ประจวบคีรีขันธ์!I531+ปราจีนบุรี!I531+พระนครศรีอยุธยา!I531+เพชรบุรี!I531+ระยอง!I531+ราชบุรี!I531+ลพบุรี!I531+สระแก้ว!I531+สระบุรี!I531+สิงห์บุรี!I531+สุพรรณบุรี!I531+อ่างทอง!I531</f>
        <v>0</v>
      </c>
      <c r="J531" s="198">
        <f ca="1">กาญจนบุรี!J531+จันทบุรี!J531+ฉะเชิงเทรา!J531+ชลบุรี!J531+ชัยนาท!J531+ตราด!J531+นครนายก!J531+นครปฐม!J531+ปทุมธานี!J531+ประจวบคีรีขันธ์!J531+ปราจีนบุรี!J531+พระนครศรีอยุธยา!J531+เพชรบุรี!J531+ระยอง!J531+ราชบุรี!J531+ลพบุรี!J531+สระแก้ว!J531+สระบุรี!J531+สิงห์บุรี!J531+สุพรรณบุรี!J531+อ่างทอง!J531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ญจนบุรี!I532+จันทบุรี!I532+ฉะเชิงเทรา!I532+ชลบุรี!I532+ชัยนาท!I532+ตราด!I532+นครนายก!I532+นครปฐม!I532+ปทุมธานี!I532+ประจวบคีรีขันธ์!I532+ปราจีนบุรี!I532+พระนครศรีอยุธยา!I532+เพชรบุรี!I532+ระยอง!I532+ราชบุรี!I532+ลพบุรี!I532+สระแก้ว!I532+สระบุรี!I532+สิงห์บุรี!I532+สุพรรณบุรี!I532+อ่างทอง!I532</f>
        <v>0</v>
      </c>
      <c r="J532" s="466">
        <f ca="1">กาญจนบุรี!J532+จันทบุรี!J532+ฉะเชิงเทรา!J532+ชลบุรี!J532+ชัยนาท!J532+ตราด!J532+นครนายก!J532+นครปฐม!J532+ปทุมธานี!J532+ประจวบคีรีขันธ์!J532+ปราจีนบุรี!J532+พระนครศรีอยุธยา!J532+เพชรบุรี!J532+ระยอง!J532+ราชบุรี!J532+ลพบุรี!J532+สระแก้ว!J532+สระบุรี!J532+สิงห์บุรี!J532+สุพรรณบุรี!J532+อ่างทอง!J532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ญจนบุรี!I533+จันทบุรี!I533+ฉะเชิงเทรา!I533+ชลบุรี!I533+ชัยนาท!I533+ตราด!I533+นครนายก!I533+นครปฐม!I533+ปทุมธานี!I533+ประจวบคีรีขันธ์!I533+ปราจีนบุรี!I533+พระนครศรีอยุธยา!I533+เพชรบุรี!I533+ระยอง!I533+ราชบุรี!I533+ลพบุรี!I533+สระแก้ว!I533+สระบุรี!I533+สิงห์บุรี!I533+สุพรรณบุรี!I533+อ่างทอง!I533</f>
        <v>441</v>
      </c>
      <c r="J533" s="410">
        <f ca="1">กาญจนบุรี!J533+จันทบุรี!J533+ฉะเชิงเทรา!J533+ชลบุรี!J533+ชัยนาท!J533+ตราด!J533+นครนายก!J533+นครปฐม!J533+ปทุมธานี!J533+ประจวบคีรีขันธ์!J533+ปราจีนบุรี!J533+พระนครศรีอยุธยา!J533+เพชรบุรี!J533+ระยอง!J533+ราชบุรี!J533+ลพบุรี!J533+สระแก้ว!J533+สระบุรี!J533+สิงห์บุรี!J533+สุพรรณบุรี!J533+อ่างทอง!J533</f>
        <v>438</v>
      </c>
      <c r="K533" s="411">
        <f ca="1">IF(I533&gt;0,J533*100/I533,0)</f>
        <v>99.319727891156461</v>
      </c>
      <c r="L533" s="412">
        <f ca="1">กาญจนบุรี!L533+จันทบุรี!L533+ฉะเชิงเทรา!L533+ชลบุรี!L533+ชัยนาท!L533+ตราด!L533+นครนายก!L533+นครปฐม!L533+ปทุมธานี!L533+ประจวบคีรีขันธ์!L533+ปราจีนบุรี!L533+พระนครศรีอยุธยา!L533+เพชรบุรี!L533+ระยอง!L533+ราชบุรี!L533+ลพบุรี!L533+สระแก้ว!L533+สระบุรี!L533+สิงห์บุรี!L533+สุพรรณบุรี!L533+อ่างทอง!L533</f>
        <v>703290</v>
      </c>
      <c r="M533" s="412"/>
      <c r="N533" s="412">
        <f ca="1">กาญจนบุรี!N533+จันทบุรี!N533+ฉะเชิงเทรา!N533+ชลบุรี!N533+ชัยนาท!N533+ตราด!N533+นครนายก!N533+นครปฐม!N533+ปทุมธานี!N533+ประจวบคีรีขันธ์!N533+ปราจีนบุรี!N533+พระนครศรีอยุธยา!N533+เพชรบุรี!N533+ระยอง!N533+ราชบุรี!N533+ลพบุรี!N533+สระแก้ว!N533+สระบุรี!N533+สิงห์บุรี!N533+สุพรรณบุรี!N533+อ่างทอง!N533</f>
        <v>501827.99</v>
      </c>
      <c r="O533" s="412">
        <f t="shared" ref="O533:O537" ca="1" si="66">+IF(L533&gt;0,N533*100/L533,0)</f>
        <v>71.354347424248886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ญจนบุรี!L534+จันทบุรี!L534+ฉะเชิงเทรา!L534+ชลบุรี!L534+ชัยนาท!L534+ตราด!L534+นครนายก!L534+นครปฐม!L534+ปทุมธานี!L534+ประจวบคีรีขันธ์!L534+ปราจีนบุรี!L534+พระนครศรีอยุธยา!L534+เพชรบุรี!L534+ระยอง!L534+ราชบุรี!L534+ลพบุรี!L534+สระแก้ว!L534+สระบุรี!L534+สิงห์บุรี!L534+สุพรรณบุรี!L534+อ่างทอง!L534</f>
        <v>0</v>
      </c>
      <c r="M534" s="164"/>
      <c r="N534" s="169">
        <f ca="1">กาญจนบุรี!N534+จันทบุรี!N534+ฉะเชิงเทรา!N534+ชลบุรี!N534+ชัยนาท!N534+ตราด!N534+นครนายก!N534+นครปฐม!N534+ปทุมธานี!N534+ประจวบคีรีขันธ์!N534+ปราจีนบุรี!N534+พระนครศรีอยุธยา!N534+เพชรบุรี!N534+ระยอง!N534+ราชบุรี!N534+ลพบุรี!N534+สระแก้ว!N534+สระบุรี!N534+สิงห์บุรี!N534+สุพรรณบุรี!N534+อ่างทอง!N534</f>
        <v>0</v>
      </c>
      <c r="O534" s="169">
        <f t="shared" ca="1" si="66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ญจนบุรี!L535+จันทบุรี!L535+ฉะเชิงเทรา!L535+ชลบุรี!L535+ชัยนาท!L535+ตราด!L535+นครนายก!L535+นครปฐม!L535+ปทุมธานี!L535+ประจวบคีรีขันธ์!L535+ปราจีนบุรี!L535+พระนครศรีอยุธยา!L535+เพชรบุรี!L535+ระยอง!L535+ราชบุรี!L535+ลพบุรี!L535+สระแก้ว!L535+สระบุรี!L535+สิงห์บุรี!L535+สุพรรณบุรี!L535+อ่างทอง!L535</f>
        <v>703290</v>
      </c>
      <c r="M535" s="165"/>
      <c r="N535" s="169">
        <f ca="1">กาญจนบุรี!N535+จันทบุรี!N535+ฉะเชิงเทรา!N535+ชลบุรี!N535+ชัยนาท!N535+ตราด!N535+นครนายก!N535+นครปฐม!N535+ปทุมธานี!N535+ประจวบคีรีขันธ์!N535+ปราจีนบุรี!N535+พระนครศรีอยุธยา!N535+เพชรบุรี!N535+ระยอง!N535+ราชบุรี!N535+ลพบุรี!N535+สระแก้ว!N535+สระบุรี!N535+สิงห์บุรี!N535+สุพรรณบุรี!N535+อ่างทอง!N535</f>
        <v>501827.99</v>
      </c>
      <c r="O535" s="169">
        <f t="shared" ca="1" si="66"/>
        <v>71.354347424248886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ญจนบุรี!L536+จันทบุรี!L536+ฉะเชิงเทรา!L536+ชลบุรี!L536+ชัยนาท!L536+ตราด!L536+นครนายก!L536+นครปฐม!L536+ปทุมธานี!L536+ประจวบคีรีขันธ์!L536+ปราจีนบุรี!L536+พระนครศรีอยุธยา!L536+เพชรบุรี!L536+ระยอง!L536+ราชบุรี!L536+ลพบุรี!L536+สระแก้ว!L536+สระบุรี!L536+สิงห์บุรี!L536+สุพรรณบุรี!L536+อ่างทอง!L536</f>
        <v>0</v>
      </c>
      <c r="M536" s="169"/>
      <c r="N536" s="169">
        <f ca="1">กาญจนบุรี!N536+จันทบุรี!N536+ฉะเชิงเทรา!N536+ชลบุรี!N536+ชัยนาท!N536+ตราด!N536+นครนายก!N536+นครปฐม!N536+ปทุมธานี!N536+ประจวบคีรีขันธ์!N536+ปราจีนบุรี!N536+พระนครศรีอยุธยา!N536+เพชรบุรี!N536+ระยอง!N536+ราชบุรี!N536+ลพบุรี!N536+สระแก้ว!N536+สระบุรี!N536+สิงห์บุรี!N536+สุพรรณบุรี!N536+อ่างทอง!N536</f>
        <v>0</v>
      </c>
      <c r="O536" s="169">
        <f t="shared" ca="1" si="66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ญจนบุรี!L537+จันทบุรี!L537+ฉะเชิงเทรา!L537+ชลบุรี!L537+ชัยนาท!L537+ตราด!L537+นครนายก!L537+นครปฐม!L537+ปทุมธานี!L537+ประจวบคีรีขันธ์!L537+ปราจีนบุรี!L537+พระนครศรีอยุธยา!L537+เพชรบุรี!L537+ระยอง!L537+ราชบุรี!L537+ลพบุรี!L537+สระแก้ว!L537+สระบุรี!L537+สิงห์บุรี!L537+สุพรรณบุรี!L537+อ่างทอง!L537</f>
        <v>703290</v>
      </c>
      <c r="M537" s="169"/>
      <c r="N537" s="169">
        <f ca="1">กาญจนบุรี!N537+จันทบุรี!N537+ฉะเชิงเทรา!N537+ชลบุรี!N537+ชัยนาท!N537+ตราด!N537+นครนายก!N537+นครปฐม!N537+ปทุมธานี!N537+ประจวบคีรีขันธ์!N537+ปราจีนบุรี!N537+พระนครศรีอยุธยา!N537+เพชรบุรี!N537+ระยอง!N537+ราชบุรี!N537+ลพบุรี!N537+สระแก้ว!N537+สระบุรี!N537+สิงห์บุรี!N537+สุพรรณบุรี!N537+อ่างทอง!N537</f>
        <v>501827.99</v>
      </c>
      <c r="O537" s="169">
        <f t="shared" ca="1" si="66"/>
        <v>71.354347424248886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กาญจนบุรี!N538+จันทบุรี!N538+ฉะเชิงเทรา!N538+ชลบุรี!N538+ชัยนาท!N538+ตราด!N538+นครนายก!N538+นครปฐม!N538+ปทุมธานี!N538+ประจวบคีรีขันธ์!N538+ปราจีนบุรี!N538+พระนครศรีอยุธยา!N538+เพชรบุรี!N538+ระยอง!N538+ราชบุรี!N538+ลพบุรี!N538+สระแก้ว!N538+สระบุรี!N538+สิงห์บุรี!N538+สุพรรณบุรี!N538+อ่างทอง!N538</f>
        <v>334208.02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กาญจนบุรี!N539+จันทบุรี!N539+ฉะเชิงเทรา!N539+ชลบุรี!N539+ชัยนาท!N539+ตราด!N539+นครนายก!N539+นครปฐม!N539+ปทุมธานี!N539+ประจวบคีรีขันธ์!N539+ปราจีนบุรี!N539+พระนครศรีอยุธยา!N539+เพชรบุรี!N539+ระยอง!N539+ราชบุรี!N539+ลพบุรี!N539+สระแก้ว!N539+สระบุรี!N539+สิงห์บุรี!N539+สุพรรณบุรี!N539+อ่างทอง!N539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กาญจนบุรี!N540+จันทบุรี!N540+ฉะเชิงเทรา!N540+ชลบุรี!N540+ชัยนาท!N540+ตราด!N540+นครนายก!N540+นครปฐม!N540+ปทุมธานี!N540+ประจวบคีรีขันธ์!N540+ปราจีนบุรี!N540+พระนครศรีอยุธยา!N540+เพชรบุรี!N540+ระยอง!N540+ราชบุรี!N540+ลพบุรี!N540+สระแก้ว!N540+สระบุรี!N540+สิงห์บุรี!N540+สุพรรณบุรี!N540+อ่างทอง!N540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กาญจนบุรี!N541+จันทบุรี!N541+ฉะเชิงเทรา!N541+ชลบุรี!N541+ชัยนาท!N541+ตราด!N541+นครนายก!N541+นครปฐม!N541+ปทุมธานี!N541+ประจวบคีรีขันธ์!N541+ปราจีนบุรี!N541+พระนครศรีอยุธยา!N541+เพชรบุรี!N541+ระยอง!N541+ราชบุรี!N541+ลพบุรี!N541+สระแก้ว!N541+สระบุรี!N541+สิงห์บุรี!N541+สุพรรณบุรี!N541+อ่างทอง!N541</f>
        <v>167619.97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ญจนบุรี!J543+จันทบุรี!J543+ฉะเชิงเทรา!J543+ชลบุรี!J543+ชัยนาท!J543+ตราด!J543+นครนายก!J543+นครปฐม!J543+ปทุมธานี!J543+ประจวบคีรีขันธ์!J543+ปราจีนบุรี!J543+พระนครศรีอยุธยา!J543+เพชรบุรี!J543+ระยอง!J543+ราชบุรี!J543+ลพบุรี!J543+สระแก้ว!J543+สระบุรี!J543+สิงห์บุรี!J543+สุพรรณบุรี!J543+อ่างทอง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ญจนบุรี!J544+จันทบุรี!J544+ฉะเชิงเทรา!J544+ชลบุรี!J544+ชัยนาท!J544+ตราด!J544+นครนายก!J544+นครปฐม!J544+ปทุมธานี!J544+ประจวบคีรีขันธ์!J544+ปราจีนบุรี!J544+พระนครศรีอยุธยา!J544+เพชรบุรี!J544+ระยอง!J544+ราชบุรี!J544+ลพบุรี!J544+สระแก้ว!J544+สระบุรี!J544+สิงห์บุรี!J544+สุพรรณบุรี!J544+อ่างทอง!J544</f>
        <v>19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ญจนบุรี!J545+จันทบุรี!J545+ฉะเชิงเทรา!J545+ชลบุรี!J545+ชัยนาท!J545+ตราด!J545+นครนายก!J545+นครปฐม!J545+ปทุมธานี!J545+ประจวบคีรีขันธ์!J545+ปราจีนบุรี!J545+พระนครศรีอยุธยา!J545+เพชรบุรี!J545+ระยอง!J545+ราชบุรี!J545+ลพบุรี!J545+สระแก้ว!J545+สระบุรี!J545+สิงห์บุรี!J545+สุพรรณบุรี!J545+อ่างทอง!J545</f>
        <v>21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ญจนบุรี!J546+จันทบุรี!J546+ฉะเชิงเทรา!J546+ชลบุรี!J546+ชัยนาท!J546+ตราด!J546+นครนายก!J546+นครปฐม!J546+ปทุมธานี!J546+ประจวบคีรีขันธ์!J546+ปราจีนบุรี!J546+พระนครศรีอยุธยา!J546+เพชรบุรี!J546+ระยอง!J546+ราชบุรี!J546+ลพบุรี!J546+สระแก้ว!J546+สระบุรี!J546+สิงห์บุรี!J546+สุพรรณบุรี!J546+อ่างทอง!J546</f>
        <v>21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กาญจนบุรี!I547+จันทบุรี!I547+ฉะเชิงเทรา!I547+ชลบุรี!I547+ชัยนาท!I547+ตราด!I547+นครนายก!I547+นครปฐม!I547+ปทุมธานี!I547+ประจวบคีรีขันธ์!I547+ปราจีนบุรี!I547+พระนครศรีอยุธยา!I547+เพชรบุรี!I547+ระยอง!I547+ราชบุรี!I547+ลพบุรี!I547+สระแก้ว!I547+สระบุรี!I547+สิงห์บุรี!I547+สุพรรณบุรี!I547+อ่างทอง!I547</f>
        <v>441</v>
      </c>
      <c r="J547" s="189">
        <f ca="1">กาญจนบุรี!J547+จันทบุรี!J547+ฉะเชิงเทรา!J547+ชลบุรี!J547+ชัยนาท!J547+ตราด!J547+นครนายก!J547+นครปฐม!J547+ปทุมธานี!J547+ประจวบคีรีขันธ์!J547+ปราจีนบุรี!J547+พระนครศรีอยุธยา!J547+เพชรบุรี!J547+ระยอง!J547+ราชบุรี!J547+ลพบุรี!J547+สระแก้ว!J547+สระบุรี!J547+สิงห์บุรี!J547+สุพรรณบุรี!J547+อ่างทอง!J547</f>
        <v>438</v>
      </c>
      <c r="K547" s="163">
        <f t="shared" ref="K547:K548" ca="1" si="67">IF(I547&gt;0,J547*100/I547,0)</f>
        <v>99.319727891156461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ญจนบุรี!J548+จันทบุรี!J548+ฉะเชิงเทรา!J548+ชลบุรี!J548+ชัยนาท!J548+ตราด!J548+นครนายก!J548+นครปฐม!J548+ปทุมธานี!J548+ประจวบคีรีขันธ์!J548+ปราจีนบุรี!J548+พระนครศรีอยุธยา!J548+เพชรบุรี!J548+ระยอง!J548+ราชบุรี!J548+ลพบุรี!J548+สระแก้ว!J548+สระบุรี!J548+สิงห์บุรี!J548+สุพรรณบุรี!J548+อ่างทอง!J548</f>
        <v>0</v>
      </c>
      <c r="K548" s="163">
        <f t="shared" ca="1" si="67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ญจนบุรี!J549+จันทบุรี!J549+ฉะเชิงเทรา!J549+ชลบุรี!J549+ชัยนาท!J549+ตราด!J549+นครนายก!J549+นครปฐม!J549+ปทุมธานี!J549+ประจวบคีรีขันธ์!J549+ปราจีนบุรี!J549+พระนครศรีอยุธยา!J549+เพชรบุรี!J549+ระยอง!J549+ราชบุรี!J549+ลพบุรี!J549+สระแก้ว!J549+สระบุรี!J549+สิงห์บุรี!J549+สุพรรณบุรี!J549+อ่างทอง!J549</f>
        <v>4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ญจนบุรี!J550+จันทบุรี!J550+ฉะเชิงเทรา!J550+ชลบุรี!J550+ชัยนาท!J550+ตราด!J550+นครนายก!J550+นครปฐม!J550+ปทุมธานี!J550+ประจวบคีรีขันธ์!J550+ปราจีนบุรี!J550+พระนครศรีอยุธยา!J550+เพชรบุรี!J550+ระยอง!J550+ราชบุรี!J550+ลพบุรี!J550+สระแก้ว!J550+สระบุรี!J550+สิงห์บุรี!J550+สุพรรณบุรี!J550+อ่างทอง!J550</f>
        <v>3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ญจนบุรี!I551+จันทบุรี!I551+ฉะเชิงเทรา!I551+ชลบุรี!I551+ชัยนาท!I551+ตราด!I551+นครนายก!I551+นครปฐม!I551+ปทุมธานี!I551+ประจวบคีรีขันธ์!I551+ปราจีนบุรี!I551+พระนครศรีอยุธยา!I551+เพชรบุรี!I551+ระยอง!I551+ราชบุรี!I551+ลพบุรี!I551+สระแก้ว!I551+สระบุรี!I551+สิงห์บุรี!I551+สุพรรณบุรี!I551+อ่างทอง!I551</f>
        <v>3000</v>
      </c>
      <c r="J551" s="410">
        <f ca="1">กาญจนบุรี!J551+จันทบุรี!J551+ฉะเชิงเทรา!J551+ชลบุรี!J551+ชัยนาท!J551+ตราด!J551+นครนายก!J551+นครปฐม!J551+ปทุมธานี!J551+ประจวบคีรีขันธ์!J551+ปราจีนบุรี!J551+พระนครศรีอยุธยา!J551+เพชรบุรี!J551+ระยอง!J551+ราชบุรี!J551+ลพบุรี!J551+สระแก้ว!J551+สระบุรี!J551+สิงห์บุรี!J551+สุพรรณบุรี!J551+อ่างทอง!J551</f>
        <v>0</v>
      </c>
      <c r="K551" s="411">
        <f ca="1">IF(I551&gt;0,J551*100/I551,0)</f>
        <v>0</v>
      </c>
      <c r="L551" s="412">
        <f ca="1">กาญจนบุรี!L551+จันทบุรี!L551+ฉะเชิงเทรา!L551+ชลบุรี!L551+ชัยนาท!L551+ตราด!L551+นครนายก!L551+นครปฐม!L551+ปทุมธานี!L551+ประจวบคีรีขันธ์!L551+ปราจีนบุรี!L551+พระนครศรีอยุธยา!L551+เพชรบุรี!L551+ระยอง!L551+ราชบุรี!L551+ลพบุรี!L551+สระแก้ว!L551+สระบุรี!L551+สิงห์บุรี!L551+สุพรรณบุรี!L551+อ่างทอง!L551</f>
        <v>198000</v>
      </c>
      <c r="M551" s="412"/>
      <c r="N551" s="412">
        <f ca="1">กาญจนบุรี!N551+จันทบุรี!N551+ฉะเชิงเทรา!N551+ชลบุรี!N551+ชัยนาท!N551+ตราด!N551+นครนายก!N551+นครปฐม!N551+ปทุมธานี!N551+ประจวบคีรีขันธ์!N551+ปราจีนบุรี!N551+พระนครศรีอยุธยา!N551+เพชรบุรี!N551+ระยอง!N551+ราชบุรี!N551+ลพบุรี!N551+สระแก้ว!N551+สระบุรี!N551+สิงห์บุรี!N551+สุพรรณบุรี!N551+อ่างทอง!N551</f>
        <v>52345</v>
      </c>
      <c r="O551" s="412">
        <f t="shared" ref="O551:O555" ca="1" si="68">+IF(L551&gt;0,N551*100/L551,0)</f>
        <v>26.436868686868689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ญจนบุรี!L552+จันทบุรี!L552+ฉะเชิงเทรา!L552+ชลบุรี!L552+ชัยนาท!L552+ตราด!L552+นครนายก!L552+นครปฐม!L552+ปทุมธานี!L552+ประจวบคีรีขันธ์!L552+ปราจีนบุรี!L552+พระนครศรีอยุธยา!L552+เพชรบุรี!L552+ระยอง!L552+ราชบุรี!L552+ลพบุรี!L552+สระแก้ว!L552+สระบุรี!L552+สิงห์บุรี!L552+สุพรรณบุรี!L552+อ่างทอง!L552</f>
        <v>0</v>
      </c>
      <c r="M552" s="164"/>
      <c r="N552" s="169">
        <f ca="1">กาญจนบุรี!N552+จันทบุรี!N552+ฉะเชิงเทรา!N552+ชลบุรี!N552+ชัยนาท!N552+ตราด!N552+นครนายก!N552+นครปฐม!N552+ปทุมธานี!N552+ประจวบคีรีขันธ์!N552+ปราจีนบุรี!N552+พระนครศรีอยุธยา!N552+เพชรบุรี!N552+ระยอง!N552+ราชบุรี!N552+ลพบุรี!N552+สระแก้ว!N552+สระบุรี!N552+สิงห์บุรี!N552+สุพรรณบุรี!N552+อ่างทอง!N552</f>
        <v>0</v>
      </c>
      <c r="O552" s="169">
        <f t="shared" ca="1" si="68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ญจนบุรี!L553+จันทบุรี!L553+ฉะเชิงเทรา!L553+ชลบุรี!L553+ชัยนาท!L553+ตราด!L553+นครนายก!L553+นครปฐม!L553+ปทุมธานี!L553+ประจวบคีรีขันธ์!L553+ปราจีนบุรี!L553+พระนครศรีอยุธยา!L553+เพชรบุรี!L553+ระยอง!L553+ราชบุรี!L553+ลพบุรี!L553+สระแก้ว!L553+สระบุรี!L553+สิงห์บุรี!L553+สุพรรณบุรี!L553+อ่างทอง!L553</f>
        <v>198000</v>
      </c>
      <c r="M553" s="165"/>
      <c r="N553" s="169">
        <f ca="1">กาญจนบุรี!N553+จันทบุรี!N553+ฉะเชิงเทรา!N553+ชลบุรี!N553+ชัยนาท!N553+ตราด!N553+นครนายก!N553+นครปฐม!N553+ปทุมธานี!N553+ประจวบคีรีขันธ์!N553+ปราจีนบุรี!N553+พระนครศรีอยุธยา!N553+เพชรบุรี!N553+ระยอง!N553+ราชบุรี!N553+ลพบุรี!N553+สระแก้ว!N553+สระบุรี!N553+สิงห์บุรี!N553+สุพรรณบุรี!N553+อ่างทอง!N553</f>
        <v>52345</v>
      </c>
      <c r="O553" s="169">
        <f t="shared" ca="1" si="68"/>
        <v>26.436868686868689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ญจนบุรี!L554+จันทบุรี!L554+ฉะเชิงเทรา!L554+ชลบุรี!L554+ชัยนาท!L554+ตราด!L554+นครนายก!L554+นครปฐม!L554+ปทุมธานี!L554+ประจวบคีรีขันธ์!L554+ปราจีนบุรี!L554+พระนครศรีอยุธยา!L554+เพชรบุรี!L554+ระยอง!L554+ราชบุรี!L554+ลพบุรี!L554+สระแก้ว!L554+สระบุรี!L554+สิงห์บุรี!L554+สุพรรณบุรี!L554+อ่างทอง!L554</f>
        <v>0</v>
      </c>
      <c r="M554" s="169"/>
      <c r="N554" s="169">
        <f ca="1">กาญจนบุรี!N554+จันทบุรี!N554+ฉะเชิงเทรา!N554+ชลบุรี!N554+ชัยนาท!N554+ตราด!N554+นครนายก!N554+นครปฐม!N554+ปทุมธานี!N554+ประจวบคีรีขันธ์!N554+ปราจีนบุรี!N554+พระนครศรีอยุธยา!N554+เพชรบุรี!N554+ระยอง!N554+ราชบุรี!N554+ลพบุรี!N554+สระแก้ว!N554+สระบุรี!N554+สิงห์บุรี!N554+สุพรรณบุรี!N554+อ่างทอง!N554</f>
        <v>0</v>
      </c>
      <c r="O554" s="169">
        <f t="shared" ca="1" si="68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ญจนบุรี!L555+จันทบุรี!L555+ฉะเชิงเทรา!L555+ชลบุรี!L555+ชัยนาท!L555+ตราด!L555+นครนายก!L555+นครปฐม!L555+ปทุมธานี!L555+ประจวบคีรีขันธ์!L555+ปราจีนบุรี!L555+พระนครศรีอยุธยา!L555+เพชรบุรี!L555+ระยอง!L555+ราชบุรี!L555+ลพบุรี!L555+สระแก้ว!L555+สระบุรี!L555+สิงห์บุรี!L555+สุพรรณบุรี!L555+อ่างทอง!L555</f>
        <v>198000</v>
      </c>
      <c r="M555" s="169"/>
      <c r="N555" s="169">
        <f ca="1">กาญจนบุรี!N555+จันทบุรี!N555+ฉะเชิงเทรา!N555+ชลบุรี!N555+ชัยนาท!N555+ตราด!N555+นครนายก!N555+นครปฐม!N555+ปทุมธานี!N555+ประจวบคีรีขันธ์!N555+ปราจีนบุรี!N555+พระนครศรีอยุธยา!N555+เพชรบุรี!N555+ระยอง!N555+ราชบุรี!N555+ลพบุรี!N555+สระแก้ว!N555+สระบุรี!N555+สิงห์บุรี!N555+สุพรรณบุรี!N555+อ่างทอง!N555</f>
        <v>52345</v>
      </c>
      <c r="O555" s="169">
        <f t="shared" ca="1" si="68"/>
        <v>26.436868686868689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กาญจนบุรี!N556+จันทบุรี!N556+ฉะเชิงเทรา!N556+ชลบุรี!N556+ชัยนาท!N556+ตราด!N556+นครนายก!N556+นครปฐม!N556+ปทุมธานี!N556+ประจวบคีรีขันธ์!N556+ปราจีนบุรี!N556+พระนครศรีอยุธยา!N556+เพชรบุรี!N556+ระยอง!N556+ราชบุรี!N556+ลพบุรี!N556+สระแก้ว!N556+สระบุรี!N556+สิงห์บุรี!N556+สุพรรณบุรี!N556+อ่างทอง!N556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กาญจนบุรี!N557+จันทบุรี!N557+ฉะเชิงเทรา!N557+ชลบุรี!N557+ชัยนาท!N557+ตราด!N557+นครนายก!N557+นครปฐม!N557+ปทุมธานี!N557+ประจวบคีรีขันธ์!N557+ปราจีนบุรี!N557+พระนครศรีอยุธยา!N557+เพชรบุรี!N557+ระยอง!N557+ราชบุรี!N557+ลพบุรี!N557+สระแก้ว!N557+สระบุรี!N557+สิงห์บุรี!N557+สุพรรณบุรี!N557+อ่างทอง!N557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กาญจนบุรี!N558+จันทบุรี!N558+ฉะเชิงเทรา!N558+ชลบุรี!N558+ชัยนาท!N558+ตราด!N558+นครนายก!N558+นครปฐม!N558+ปทุมธานี!N558+ประจวบคีรีขันธ์!N558+ปราจีนบุรี!N558+พระนครศรีอยุธยา!N558+เพชรบุรี!N558+ระยอง!N558+ราชบุรี!N558+ลพบุรี!N558+สระแก้ว!N558+สระบุรี!N558+สิงห์บุรี!N558+สุพรรณบุรี!N558+อ่างทอง!N558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กาญจนบุรี!N559+จันทบุรี!N559+ฉะเชิงเทรา!N559+ชลบุรี!N559+ชัยนาท!N559+ตราด!N559+นครนายก!N559+นครปฐม!N559+ปทุมธานี!N559+ประจวบคีรีขันธ์!N559+ปราจีนบุรี!N559+พระนครศรีอยุธยา!N559+เพชรบุรี!N559+ระยอง!N559+ราชบุรี!N559+ลพบุรี!N559+สระแก้ว!N559+สระบุรี!N559+สิงห์บุรี!N559+สุพรรณบุรี!N559+อ่างทอง!N559</f>
        <v>52345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กาญจนบุรี!I560+จันทบุรี!I560+ฉะเชิงเทรา!I560+ชลบุรี!I560+ชัยนาท!I560+ตราด!I560+นครนายก!I560+นครปฐม!I560+ปทุมธานี!I560+ประจวบคีรีขันธ์!I560+ปราจีนบุรี!I560+พระนครศรีอยุธยา!I560+เพชรบุรี!I560+ระยอง!I560+ราชบุรี!I560+ลพบุรี!I560+สระแก้ว!I560+สระบุรี!I560+สิงห์บุรี!I560+สุพรรณบุรี!I560+อ่างทอง!I560</f>
        <v>3000</v>
      </c>
      <c r="J560" s="162">
        <f ca="1">กาญจนบุรี!J560+จันทบุรี!J560+ฉะเชิงเทรา!J560+ชลบุรี!J560+ชัยนาท!J560+ตราด!J560+นครนายก!J560+นครปฐม!J560+ปทุมธานี!J560+ประจวบคีรีขันธ์!J560+ปราจีนบุรี!J560+พระนครศรีอยุธยา!J560+เพชรบุรี!J560+ระยอง!J560+ราชบุรี!J560+ลพบุรี!J560+สระแก้ว!J560+สระบุรี!J560+สิงห์บุรี!J560+สุพรรณบุรี!J560+อ่างทอง!J560</f>
        <v>0</v>
      </c>
      <c r="K560" s="224">
        <f t="shared" ref="K560:K561" ca="1" si="69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ญจนบุรี!I561+จันทบุรี!I561+ฉะเชิงเทรา!I561+ชลบุรี!I561+ชัยนาท!I561+ตราด!I561+นครนายก!I561+นครปฐม!I561+ปทุมธานี!I561+ประจวบคีรีขันธ์!I561+ปราจีนบุรี!I561+พระนครศรีอยุธยา!I561+เพชรบุรี!I561+ระยอง!I561+ราชบุรี!I561+ลพบุรี!I561+สระแก้ว!I561+สระบุรี!I561+สิงห์บุรี!I561+สุพรรณบุรี!I561+อ่างทอง!I561</f>
        <v>0</v>
      </c>
      <c r="J561" s="204">
        <f ca="1">กาญจนบุรี!J561+จันทบุรี!J561+ฉะเชิงเทรา!J561+ชลบุรี!J561+ชัยนาท!J561+ตราด!J561+นครนายก!J561+นครปฐม!J561+ปทุมธานี!J561+ประจวบคีรีขันธ์!J561+ปราจีนบุรี!J561+พระนครศรีอยุธยา!J561+เพชรบุรี!J561+ระยอง!J561+ราชบุรี!J561+ลพบุรี!J561+สระแก้ว!J561+สระบุรี!J561+สิงห์บุรี!J561+สุพรรณบุรี!J561+อ่างทอง!J561</f>
        <v>0</v>
      </c>
      <c r="K561" s="224">
        <f t="shared" ca="1" si="69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ญจนบุรี!I564+จันทบุรี!I564+ฉะเชิงเทรา!I564+ชลบุรี!I564+ชัยนาท!I564+ตราด!I564+นครนายก!I564+นครปฐม!I564+ปทุมธานี!I564+ประจวบคีรีขันธ์!I564+ปราจีนบุรี!I564+พระนครศรีอยุธยา!I564+เพชรบุรี!I564+ระยอง!I564+ราชบุรี!I564+ลพบุรี!I564+สระแก้ว!I564+สระบุรี!I564+สิงห์บุรี!I564+สุพรรณบุรี!I564+อ่างทอง!I564</f>
        <v>15740</v>
      </c>
      <c r="J564" s="371">
        <f ca="1">กาญจนบุรี!J564+จันทบุรี!J564+ฉะเชิงเทรา!J564+ชลบุรี!J564+ชัยนาท!J564+ตราด!J564+นครนายก!J564+นครปฐม!J564+ปทุมธานี!J564+ประจวบคีรีขันธ์!J564+ปราจีนบุรี!J564+พระนครศรีอยุธยา!J564+เพชรบุรี!J564+ระยอง!J564+ราชบุรี!J564+ลพบุรี!J564+สระแก้ว!J564+สระบุรี!J564+สิงห์บุรี!J564+สุพรรณบุรี!J564+อ่างทอง!J564</f>
        <v>24298</v>
      </c>
      <c r="K564" s="372">
        <f ca="1">IF(I564&gt;0,J564*100/I564,0)</f>
        <v>154.3710292249047</v>
      </c>
      <c r="L564" s="373">
        <f ca="1">กาญจนบุรี!L564+จันทบุรี!L564+ฉะเชิงเทรา!L564+ชลบุรี!L564+ชัยนาท!L564+ตราด!L564+นครนายก!L564+นครปฐม!L564+ปทุมธานี!L564+ประจวบคีรีขันธ์!L564+ปราจีนบุรี!L564+พระนครศรีอยุธยา!L564+เพชรบุรี!L564+ระยอง!L564+ราชบุรี!L564+ลพบุรี!L564+สระแก้ว!L564+สระบุรี!L564+สิงห์บุรี!L564+สุพรรณบุรี!L564+อ่างทอง!L564</f>
        <v>2661040</v>
      </c>
      <c r="M564" s="373"/>
      <c r="N564" s="373">
        <f ca="1">กาญจนบุรี!N564+จันทบุรี!N564+ฉะเชิงเทรา!N564+ชลบุรี!N564+ชัยนาท!N564+ตราด!N564+นครนายก!N564+นครปฐม!N564+ปทุมธานี!N564+ประจวบคีรีขันธ์!N564+ปราจีนบุรี!N564+พระนครศรีอยุธยา!N564+เพชรบุรี!N564+ระยอง!N564+ราชบุรี!N564+ลพบุรี!N564+สระแก้ว!N564+สระบุรี!N564+สิงห์บุรี!N564+สุพรรณบุรี!N564+อ่างทอง!N564</f>
        <v>1110761.6399999997</v>
      </c>
      <c r="O564" s="373">
        <f t="shared" ref="O564:O568" ca="1" si="70">+IF(L564&gt;0,N564*100/L564,0)</f>
        <v>41.741636352704198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ญจนบุรี!L565+จันทบุรี!L565+ฉะเชิงเทรา!L565+ชลบุรี!L565+ชัยนาท!L565+ตราด!L565+นครนายก!L565+นครปฐม!L565+ปทุมธานี!L565+ประจวบคีรีขันธ์!L565+ปราจีนบุรี!L565+พระนครศรีอยุธยา!L565+เพชรบุรี!L565+ระยอง!L565+ราชบุรี!L565+ลพบุรี!L565+สระแก้ว!L565+สระบุรี!L565+สิงห์บุรี!L565+สุพรรณบุรี!L565+อ่างทอง!L565</f>
        <v>0</v>
      </c>
      <c r="M565" s="164"/>
      <c r="N565" s="169">
        <f ca="1">กาญจนบุรี!N565+จันทบุรี!N565+ฉะเชิงเทรา!N565+ชลบุรี!N565+ชัยนาท!N565+ตราด!N565+นครนายก!N565+นครปฐม!N565+ปทุมธานี!N565+ประจวบคีรีขันธ์!N565+ปราจีนบุรี!N565+พระนครศรีอยุธยา!N565+เพชรบุรี!N565+ระยอง!N565+ราชบุรี!N565+ลพบุรี!N565+สระแก้ว!N565+สระบุรี!N565+สิงห์บุรี!N565+สุพรรณบุรี!N565+อ่างทอง!N565</f>
        <v>0</v>
      </c>
      <c r="O565" s="169">
        <f t="shared" ca="1" si="70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ญจนบุรี!L566+จันทบุรี!L566+ฉะเชิงเทรา!L566+ชลบุรี!L566+ชัยนาท!L566+ตราด!L566+นครนายก!L566+นครปฐม!L566+ปทุมธานี!L566+ประจวบคีรีขันธ์!L566+ปราจีนบุรี!L566+พระนครศรีอยุธยา!L566+เพชรบุรี!L566+ระยอง!L566+ราชบุรี!L566+ลพบุรี!L566+สระแก้ว!L566+สระบุรี!L566+สิงห์บุรี!L566+สุพรรณบุรี!L566+อ่างทอง!L566</f>
        <v>2661040</v>
      </c>
      <c r="M566" s="165"/>
      <c r="N566" s="169">
        <f ca="1">กาญจนบุรี!N566+จันทบุรี!N566+ฉะเชิงเทรา!N566+ชลบุรี!N566+ชัยนาท!N566+ตราด!N566+นครนายก!N566+นครปฐม!N566+ปทุมธานี!N566+ประจวบคีรีขันธ์!N566+ปราจีนบุรี!N566+พระนครศรีอยุธยา!N566+เพชรบุรี!N566+ระยอง!N566+ราชบุรี!N566+ลพบุรี!N566+สระแก้ว!N566+สระบุรี!N566+สิงห์บุรี!N566+สุพรรณบุรี!N566+อ่างทอง!N566</f>
        <v>1110761.6399999997</v>
      </c>
      <c r="O566" s="169">
        <f t="shared" ca="1" si="70"/>
        <v>41.741636352704198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ญจนบุรี!L567+จันทบุรี!L567+ฉะเชิงเทรา!L567+ชลบุรี!L567+ชัยนาท!L567+ตราด!L567+นครนายก!L567+นครปฐม!L567+ปทุมธานี!L567+ประจวบคีรีขันธ์!L567+ปราจีนบุรี!L567+พระนครศรีอยุธยา!L567+เพชรบุรี!L567+ระยอง!L567+ราชบุรี!L567+ลพบุรี!L567+สระแก้ว!L567+สระบุรี!L567+สิงห์บุรี!L567+สุพรรณบุรี!L567+อ่างทอง!L567</f>
        <v>0</v>
      </c>
      <c r="M567" s="169"/>
      <c r="N567" s="169">
        <f ca="1">กาญจนบุรี!N567+จันทบุรี!N567+ฉะเชิงเทรา!N567+ชลบุรี!N567+ชัยนาท!N567+ตราด!N567+นครนายก!N567+นครปฐม!N567+ปทุมธานี!N567+ประจวบคีรีขันธ์!N567+ปราจีนบุรี!N567+พระนครศรีอยุธยา!N567+เพชรบุรี!N567+ระยอง!N567+ราชบุรี!N567+ลพบุรี!N567+สระแก้ว!N567+สระบุรี!N567+สิงห์บุรี!N567+สุพรรณบุรี!N567+อ่างทอง!N567</f>
        <v>0</v>
      </c>
      <c r="O567" s="169">
        <f t="shared" ca="1" si="70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ญจนบุรี!L568+จันทบุรี!L568+ฉะเชิงเทรา!L568+ชลบุรี!L568+ชัยนาท!L568+ตราด!L568+นครนายก!L568+นครปฐม!L568+ปทุมธานี!L568+ประจวบคีรีขันธ์!L568+ปราจีนบุรี!L568+พระนครศรีอยุธยา!L568+เพชรบุรี!L568+ระยอง!L568+ราชบุรี!L568+ลพบุรี!L568+สระแก้ว!L568+สระบุรี!L568+สิงห์บุรี!L568+สุพรรณบุรี!L568+อ่างทอง!L568</f>
        <v>2661040</v>
      </c>
      <c r="M568" s="169"/>
      <c r="N568" s="169">
        <f ca="1">กาญจนบุรี!N568+จันทบุรี!N568+ฉะเชิงเทรา!N568+ชลบุรี!N568+ชัยนาท!N568+ตราด!N568+นครนายก!N568+นครปฐม!N568+ปทุมธานี!N568+ประจวบคีรีขันธ์!N568+ปราจีนบุรี!N568+พระนครศรีอยุธยา!N568+เพชรบุรี!N568+ระยอง!N568+ราชบุรี!N568+ลพบุรี!N568+สระแก้ว!N568+สระบุรี!N568+สิงห์บุรี!N568+สุพรรณบุรี!N568+อ่างทอง!N568</f>
        <v>1110761.6399999997</v>
      </c>
      <c r="O568" s="169">
        <f t="shared" ca="1" si="70"/>
        <v>41.741636352704198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กาญจนบุรี!N569+จันทบุรี!N569+ฉะเชิงเทรา!N569+ชลบุรี!N569+ชัยนาท!N569+ตราด!N569+นครนายก!N569+นครปฐม!N569+ปทุมธานี!N569+ประจวบคีรีขันธ์!N569+ปราจีนบุรี!N569+พระนครศรีอยุธยา!N569+เพชรบุรี!N569+ระยอง!N569+ราชบุรี!N569+ลพบุรี!N569+สระแก้ว!N569+สระบุรี!N569+สิงห์บุรี!N569+สุพรรณบุรี!N569+อ่างทอง!N569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กาญจนบุรี!N570+จันทบุรี!N570+ฉะเชิงเทรา!N570+ชลบุรี!N570+ชัยนาท!N570+ตราด!N570+นครนายก!N570+นครปฐม!N570+ปทุมธานี!N570+ประจวบคีรีขันธ์!N570+ปราจีนบุรี!N570+พระนครศรีอยุธยา!N570+เพชรบุรี!N570+ระยอง!N570+ราชบุรี!N570+ลพบุรี!N570+สระแก้ว!N570+สระบุรี!N570+สิงห์บุรี!N570+สุพรรณบุรี!N570+อ่างทอง!N570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กาญจนบุรี!N571+จันทบุรี!N571+ฉะเชิงเทรา!N571+ชลบุรี!N571+ชัยนาท!N571+ตราด!N571+นครนายก!N571+นครปฐม!N571+ปทุมธานี!N571+ประจวบคีรีขันธ์!N571+ปราจีนบุรี!N571+พระนครศรีอยุธยา!N571+เพชรบุรี!N571+ระยอง!N571+ราชบุรี!N571+ลพบุรี!N571+สระแก้ว!N571+สระบุรี!N571+สิงห์บุรี!N571+สุพรรณบุรี!N571+อ่างทอง!N571</f>
        <v>899559.32000000007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กาญจนบุรี!N572+จันทบุรี!N572+ฉะเชิงเทรา!N572+ชลบุรี!N572+ชัยนาท!N572+ตราด!N572+นครนายก!N572+นครปฐม!N572+ปทุมธานี!N572+ประจวบคีรีขันธ์!N572+ปราจีนบุรี!N572+พระนครศรีอยุธยา!N572+เพชรบุรี!N572+ระยอง!N572+ราชบุรี!N572+ลพบุรี!N572+สระแก้ว!N572+สระบุรี!N572+สิงห์บุรี!N572+สุพรรณบุรี!N572+อ่างทอง!N572</f>
        <v>211202.32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กาญจนบุรี!I573+จันทบุรี!I573+ฉะเชิงเทรา!I573+ชลบุรี!I573+ชัยนาท!I573+ตราด!I573+นครนายก!I573+นครปฐม!I573+ปทุมธานี!I573+ประจวบคีรีขันธ์!I573+ปราจีนบุรี!I573+พระนครศรีอยุธยา!I573+เพชรบุรี!I573+ระยอง!I573+ราชบุรี!I573+ลพบุรี!I573+สระแก้ว!I573+สระบุรี!I573+สิงห์บุรี!I573+สุพรรณบุรี!I573+อ่างทอง!I573</f>
        <v>15740</v>
      </c>
      <c r="J573" s="420">
        <f ca="1">กาญจนบุรี!J573+จันทบุรี!J573+ฉะเชิงเทรา!J573+ชลบุรี!J573+ชัยนาท!J573+ตราด!J573+นครนายก!J573+นครปฐม!J573+ปทุมธานี!J573+ประจวบคีรีขันธ์!J573+ปราจีนบุรี!J573+พระนครศรีอยุธยา!J573+เพชรบุรี!J573+ระยอง!J573+ราชบุรี!J573+ลพบุรี!J573+สระแก้ว!J573+สระบุรี!J573+สิงห์บุรี!J573+สุพรรณบุรี!J573+อ่างทอง!J573</f>
        <v>24298</v>
      </c>
      <c r="K573" s="202">
        <f ca="1">IF(I573&gt;0,J573*100/I573,0)</f>
        <v>154.3710292249047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ญจนบุรี!I575+จันทบุรี!I575+ฉะเชิงเทรา!I575+ชลบุรี!I575+ชัยนาท!I575+ตราด!I575+นครนายก!I575+นครปฐม!I575+ปทุมธานี!I575+ประจวบคีรีขันธ์!I575+ปราจีนบุรี!I575+พระนครศรีอยุธยา!I575+เพชรบุรี!I575+ระยอง!I575+ราชบุรี!I575+ลพบุรี!I575+สระแก้ว!I575+สระบุรี!I575+สิงห์บุรี!I575+สุพรรณบุรี!I575+อ่างทอง!I575</f>
        <v>4</v>
      </c>
      <c r="J575" s="198">
        <f ca="1">กาญจนบุรี!J575+จันทบุรี!J575+ฉะเชิงเทรา!J575+ชลบุรี!J575+ชัยนาท!J575+ตราด!J575+นครนายก!J575+นครปฐม!J575+ปทุมธานี!J575+ประจวบคีรีขันธ์!J575+ปราจีนบุรี!J575+พระนครศรีอยุธยา!J575+เพชรบุรี!J575+ระยอง!J575+ราชบุรี!J575+ลพบุรี!J575+สระแก้ว!J575+สระบุรี!J575+สิงห์บุรี!J575+สุพรรณบุรี!J575+อ่างทอง!J575</f>
        <v>62</v>
      </c>
      <c r="K575" s="163">
        <f t="shared" ref="K575:K579" ca="1" si="71">IF(I575&gt;0,J575*100/I575,0)</f>
        <v>1550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ญจนบุรี!I576+จันทบุรี!I576+ฉะเชิงเทรา!I576+ชลบุรี!I576+ชัยนาท!I576+ตราด!I576+นครนายก!I576+นครปฐม!I576+ปทุมธานี!I576+ประจวบคีรีขันธ์!I576+ปราจีนบุรี!I576+พระนครศรีอยุธยา!I576+เพชรบุรี!I576+ระยอง!I576+ราชบุรี!I576+ลพบุรี!I576+สระแก้ว!I576+สระบุรี!I576+สิงห์บุรี!I576+สุพรรณบุรี!I576+อ่างทอง!I576</f>
        <v>0</v>
      </c>
      <c r="J576" s="198">
        <f ca="1">กาญจนบุรี!J576+จันทบุรี!J576+ฉะเชิงเทรา!J576+ชลบุรี!J576+ชัยนาท!J576+ตราด!J576+นครนายก!J576+นครปฐม!J576+ปทุมธานี!J576+ประจวบคีรีขันธ์!J576+ปราจีนบุรี!J576+พระนครศรีอยุธยา!J576+เพชรบุรี!J576+ระยอง!J576+ราชบุรี!J576+ลพบุรี!J576+สระแก้ว!J576+สระบุรี!J576+สิงห์บุรี!J576+สุพรรณบุรี!J576+อ่างทอง!J576</f>
        <v>2392</v>
      </c>
      <c r="K576" s="163">
        <f t="shared" ca="1" si="71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ญจนบุรี!I577+จันทบุรี!I577+ฉะเชิงเทรา!I577+ชลบุรี!I577+ชัยนาท!I577+ตราด!I577+นครนายก!I577+นครปฐม!I577+ปทุมธานี!I577+ประจวบคีรีขันธ์!I577+ปราจีนบุรี!I577+พระนครศรีอยุธยา!I577+เพชรบุรี!I577+ระยอง!I577+ราชบุรี!I577+ลพบุรี!I577+สระแก้ว!I577+สระบุรี!I577+สิงห์บุรี!I577+สุพรรณบุรี!I577+อ่างทอง!I577</f>
        <v>900</v>
      </c>
      <c r="J577" s="189">
        <f ca="1">กาญจนบุรี!J577+จันทบุรี!J577+ฉะเชิงเทรา!J577+ชลบุรี!J577+ชัยนาท!J577+ตราด!J577+นครนายก!J577+นครปฐม!J577+ปทุมธานี!J577+ประจวบคีรีขันธ์!J577+ปราจีนบุรี!J577+พระนครศรีอยุธยา!J577+เพชรบุรี!J577+ระยอง!J577+ราชบุรี!J577+ลพบุรี!J577+สระแก้ว!J577+สระบุรี!J577+สิงห์บุรี!J577+สุพรรณบุรี!J577+อ่างทอง!J577</f>
        <v>21759</v>
      </c>
      <c r="K577" s="163">
        <f t="shared" ca="1" si="71"/>
        <v>2417.6666666666665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ญจนบุรี!I578+จันทบุรี!I578+ฉะเชิงเทรา!I578+ชลบุรี!I578+ชัยนาท!I578+ตราด!I578+นครนายก!I578+นครปฐม!I578+ปทุมธานี!I578+ประจวบคีรีขันธ์!I578+ปราจีนบุรี!I578+พระนครศรีอยุธยา!I578+เพชรบุรี!I578+ระยอง!I578+ราชบุรี!I578+ลพบุรี!I578+สระแก้ว!I578+สระบุรี!I578+สิงห์บุรี!I578+สุพรรณบุรี!I578+อ่างทอง!I578</f>
        <v>0</v>
      </c>
      <c r="J578" s="198">
        <f ca="1">กาญจนบุรี!J578+จันทบุรี!J578+ฉะเชิงเทรา!J578+ชลบุรี!J578+ชัยนาท!J578+ตราด!J578+นครนายก!J578+นครปฐม!J578+ปทุมธานี!J578+ประจวบคีรีขันธ์!J578+ปราจีนบุรี!J578+พระนครศรีอยุธยา!J578+เพชรบุรี!J578+ระยอง!J578+ราชบุรี!J578+ลพบุรี!J578+สระแก้ว!J578+สระบุรี!J578+สิงห์บุรี!J578+สุพรรณบุรี!J578+อ่างทอง!J578</f>
        <v>52</v>
      </c>
      <c r="K578" s="163">
        <f t="shared" ca="1" si="71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ญจนบุรี!I579+จันทบุรี!I579+ฉะเชิงเทรา!I579+ชลบุรี!I579+ชัยนาท!I579+ตราด!I579+นครนายก!I579+นครปฐม!I579+ปทุมธานี!I579+ประจวบคีรีขันธ์!I579+ปราจีนบุรี!I579+พระนครศรีอยุธยา!I579+เพชรบุรี!I579+ระยอง!I579+ราชบุรี!I579+ลพบุรี!I579+สระแก้ว!I579+สระบุรี!I579+สิงห์บุรี!I579+สุพรรณบุรี!I579+อ่างทอง!I579</f>
        <v>0</v>
      </c>
      <c r="J579" s="198">
        <f ca="1">กาญจนบุรี!J579+จันทบุรี!J579+ฉะเชิงเทรา!J579+ชลบุรี!J579+ชัยนาท!J579+ตราด!J579+นครนายก!J579+นครปฐม!J579+ปทุมธานี!J579+ประจวบคีรีขันธ์!J579+ปราจีนบุรี!J579+พระนครศรีอยุธยา!J579+เพชรบุรี!J579+ระยอง!J579+ราชบุรี!J579+ลพบุรี!J579+สระแก้ว!J579+สระบุรี!J579+สิงห์บุรี!J579+สุพรรณบุรี!J579+อ่างทอง!J579</f>
        <v>95</v>
      </c>
      <c r="K579" s="163">
        <f t="shared" ca="1" si="71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กาญจนบุรี!I580+จันทบุรี!I580+ฉะเชิงเทรา!I580+ชลบุรี!I580+ชัยนาท!I580+ตราด!I580+นครนายก!I580+นครปฐม!I580+ปทุมธานี!I580+ประจวบคีรีขันธ์!I580+ปราจีนบุรี!I580+พระนครศรีอยุธยา!I580+เพชรบุรี!I580+ระยอง!I580+ราชบุรี!I580+ลพบุรี!I580+สระแก้ว!I580+สระบุรี!I580+สิงห์บุรี!I580+สุพรรณบุรี!I580+อ่างทอง!I580</f>
        <v>995</v>
      </c>
      <c r="J580" s="371">
        <f ca="1">กาญจนบุรี!J580+จันทบุรี!J580+ฉะเชิงเทรา!J580+ชลบุรี!J580+ชัยนาท!J580+ตราด!J580+นครนายก!J580+นครปฐม!J580+ปทุมธานี!J580+ประจวบคีรีขันธ์!J580+ปราจีนบุรี!J580+พระนครศรีอยุธยา!J580+เพชรบุรี!J580+ระยอง!J580+ราชบุรี!J580+ลพบุรี!J580+สระแก้ว!J580+สระบุรี!J580+สิงห์บุรี!J580+สุพรรณบุรี!J580+อ่างทอง!J580</f>
        <v>18</v>
      </c>
      <c r="K580" s="372">
        <f ca="1">IF(I580&gt;0,J580*100/I580,0)</f>
        <v>1.8090452261306533</v>
      </c>
      <c r="L580" s="373">
        <f ca="1">กาญจนบุรี!L580+จันทบุรี!L580+ฉะเชิงเทรา!L580+ชลบุรี!L580+ชัยนาท!L580+ตราด!L580+นครนายก!L580+นครปฐม!L580+ปทุมธานี!L580+ประจวบคีรีขันธ์!L580+ปราจีนบุรี!L580+พระนครศรีอยุธยา!L580+เพชรบุรี!L580+ระยอง!L580+ราชบุรี!L580+ลพบุรี!L580+สระแก้ว!L580+สระบุรี!L580+สิงห์บุรี!L580+สุพรรณบุรี!L580+อ่างทอง!L580</f>
        <v>1584755</v>
      </c>
      <c r="M580" s="373"/>
      <c r="N580" s="373">
        <f ca="1">กาญจนบุรี!N580+จันทบุรี!N580+ฉะเชิงเทรา!N580+ชลบุรี!N580+ชัยนาท!N580+ตราด!N580+นครนายก!N580+นครปฐม!N580+ปทุมธานี!N580+ประจวบคีรีขันธ์!N580+ปราจีนบุรี!N580+พระนครศรีอยุธยา!N580+เพชรบุรี!N580+ระยอง!N580+ราชบุรี!N580+ลพบุรี!N580+สระแก้ว!N580+สระบุรี!N580+สิงห์บุรี!N580+สุพรรณบุรี!N580+อ่างทอง!N580</f>
        <v>472123.93999999994</v>
      </c>
      <c r="O580" s="373">
        <f t="shared" ref="O580:O584" ca="1" si="72">+IF(L580&gt;0,N580*100/L580,0)</f>
        <v>29.791604380487829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ญจนบุรี!L581+จันทบุรี!L581+ฉะเชิงเทรา!L581+ชลบุรี!L581+ชัยนาท!L581+ตราด!L581+นครนายก!L581+นครปฐม!L581+ปทุมธานี!L581+ประจวบคีรีขันธ์!L581+ปราจีนบุรี!L581+พระนครศรีอยุธยา!L581+เพชรบุรี!L581+ระยอง!L581+ราชบุรี!L581+ลพบุรี!L581+สระแก้ว!L581+สระบุรี!L581+สิงห์บุรี!L581+สุพรรณบุรี!L581+อ่างทอง!L581</f>
        <v>0</v>
      </c>
      <c r="M581" s="164"/>
      <c r="N581" s="169">
        <f ca="1">กาญจนบุรี!N581+จันทบุรี!N581+ฉะเชิงเทรา!N581+ชลบุรี!N581+ชัยนาท!N581+ตราด!N581+นครนายก!N581+นครปฐม!N581+ปทุมธานี!N581+ประจวบคีรีขันธ์!N581+ปราจีนบุรี!N581+พระนครศรีอยุธยา!N581+เพชรบุรี!N581+ระยอง!N581+ราชบุรี!N581+ลพบุรี!N581+สระแก้ว!N581+สระบุรี!N581+สิงห์บุรี!N581+สุพรรณบุรี!N581+อ่างทอง!N581</f>
        <v>0</v>
      </c>
      <c r="O581" s="169">
        <f t="shared" ca="1" si="72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ญจนบุรี!L582+จันทบุรี!L582+ฉะเชิงเทรา!L582+ชลบุรี!L582+ชัยนาท!L582+ตราด!L582+นครนายก!L582+นครปฐม!L582+ปทุมธานี!L582+ประจวบคีรีขันธ์!L582+ปราจีนบุรี!L582+พระนครศรีอยุธยา!L582+เพชรบุรี!L582+ระยอง!L582+ราชบุรี!L582+ลพบุรี!L582+สระแก้ว!L582+สระบุรี!L582+สิงห์บุรี!L582+สุพรรณบุรี!L582+อ่างทอง!L582</f>
        <v>1584755</v>
      </c>
      <c r="M582" s="165"/>
      <c r="N582" s="169">
        <f ca="1">กาญจนบุรี!N582+จันทบุรี!N582+ฉะเชิงเทรา!N582+ชลบุรี!N582+ชัยนาท!N582+ตราด!N582+นครนายก!N582+นครปฐม!N582+ปทุมธานี!N582+ประจวบคีรีขันธ์!N582+ปราจีนบุรี!N582+พระนครศรีอยุธยา!N582+เพชรบุรี!N582+ระยอง!N582+ราชบุรี!N582+ลพบุรี!N582+สระแก้ว!N582+สระบุรี!N582+สิงห์บุรี!N582+สุพรรณบุรี!N582+อ่างทอง!N582</f>
        <v>472123.93999999994</v>
      </c>
      <c r="O582" s="169">
        <f t="shared" ca="1" si="72"/>
        <v>29.791604380487829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ญจนบุรี!L583+จันทบุรี!L583+ฉะเชิงเทรา!L583+ชลบุรี!L583+ชัยนาท!L583+ตราด!L583+นครนายก!L583+นครปฐม!L583+ปทุมธานี!L583+ประจวบคีรีขันธ์!L583+ปราจีนบุรี!L583+พระนครศรีอยุธยา!L583+เพชรบุรี!L583+ระยอง!L583+ราชบุรี!L583+ลพบุรี!L583+สระแก้ว!L583+สระบุรี!L583+สิงห์บุรี!L583+สุพรรณบุรี!L583+อ่างทอง!L583</f>
        <v>0</v>
      </c>
      <c r="M583" s="169"/>
      <c r="N583" s="169">
        <f ca="1">กาญจนบุรี!N583+จันทบุรี!N583+ฉะเชิงเทรา!N583+ชลบุรี!N583+ชัยนาท!N583+ตราด!N583+นครนายก!N583+นครปฐม!N583+ปทุมธานี!N583+ประจวบคีรีขันธ์!N583+ปราจีนบุรี!N583+พระนครศรีอยุธยา!N583+เพชรบุรี!N583+ระยอง!N583+ราชบุรี!N583+ลพบุรี!N583+สระแก้ว!N583+สระบุรี!N583+สิงห์บุรี!N583+สุพรรณบุรี!N583+อ่างทอง!N583</f>
        <v>0</v>
      </c>
      <c r="O583" s="169">
        <f t="shared" ca="1" si="72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ญจนบุรี!L584+จันทบุรี!L584+ฉะเชิงเทรา!L584+ชลบุรี!L584+ชัยนาท!L584+ตราด!L584+นครนายก!L584+นครปฐม!L584+ปทุมธานี!L584+ประจวบคีรีขันธ์!L584+ปราจีนบุรี!L584+พระนครศรีอยุธยา!L584+เพชรบุรี!L584+ระยอง!L584+ราชบุรี!L584+ลพบุรี!L584+สระแก้ว!L584+สระบุรี!L584+สิงห์บุรี!L584+สุพรรณบุรี!L584+อ่างทอง!L584</f>
        <v>1584755</v>
      </c>
      <c r="M584" s="169"/>
      <c r="N584" s="169">
        <f ca="1">กาญจนบุรี!N584+จันทบุรี!N584+ฉะเชิงเทรา!N584+ชลบุรี!N584+ชัยนาท!N584+ตราด!N584+นครนายก!N584+นครปฐม!N584+ปทุมธานี!N584+ประจวบคีรีขันธ์!N584+ปราจีนบุรี!N584+พระนครศรีอยุธยา!N584+เพชรบุรี!N584+ระยอง!N584+ราชบุรี!N584+ลพบุรี!N584+สระแก้ว!N584+สระบุรี!N584+สิงห์บุรี!N584+สุพรรณบุรี!N584+อ่างทอง!N584</f>
        <v>472123.93999999994</v>
      </c>
      <c r="O584" s="169">
        <f t="shared" ca="1" si="72"/>
        <v>29.791604380487829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กาญจนบุรี!N585+จันทบุรี!N585+ฉะเชิงเทรา!N585+ชลบุรี!N585+ชัยนาท!N585+ตราด!N585+นครนายก!N585+นครปฐม!N585+ปทุมธานี!N585+ประจวบคีรีขันธ์!N585+ปราจีนบุรี!N585+พระนครศรีอยุธยา!N585+เพชรบุรี!N585+ระยอง!N585+ราชบุรี!N585+ลพบุรี!N585+สระแก้ว!N585+สระบุรี!N585+สิงห์บุรี!N585+สุพรรณบุรี!N585+อ่างทอง!N585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กาญจนบุรี!N586+จันทบุรี!N586+ฉะเชิงเทรา!N586+ชลบุรี!N586+ชัยนาท!N586+ตราด!N586+นครนายก!N586+นครปฐม!N586+ปทุมธานี!N586+ประจวบคีรีขันธ์!N586+ปราจีนบุรี!N586+พระนครศรีอยุธยา!N586+เพชรบุรี!N586+ระยอง!N586+ราชบุรี!N586+ลพบุรี!N586+สระแก้ว!N586+สระบุรี!N586+สิงห์บุรี!N586+สุพรรณบุรี!N586+อ่างทอง!N586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กาญจนบุรี!N587+จันทบุรี!N587+ฉะเชิงเทรา!N587+ชลบุรี!N587+ชัยนาท!N587+ตราด!N587+นครนายก!N587+นครปฐม!N587+ปทุมธานี!N587+ประจวบคีรีขันธ์!N587+ปราจีนบุรี!N587+พระนครศรีอยุธยา!N587+เพชรบุรี!N587+ระยอง!N587+ราชบุรี!N587+ลพบุรี!N587+สระแก้ว!N587+สระบุรี!N587+สิงห์บุรี!N587+สุพรรณบุรี!N587+อ่างทอง!N587</f>
        <v>189182.91999999998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กาญจนบุรี!N588+จันทบุรี!N588+ฉะเชิงเทรา!N588+ชลบุรี!N588+ชัยนาท!N588+ตราด!N588+นครนายก!N588+นครปฐม!N588+ปทุมธานี!N588+ประจวบคีรีขันธ์!N588+ปราจีนบุรี!N588+พระนครศรีอยุธยา!N588+เพชรบุรี!N588+ระยอง!N588+ราชบุรี!N588+ลพบุรี!N588+สระแก้ว!N588+สระบุรี!N588+สิงห์บุรี!N588+สุพรรณบุรี!N588+อ่างทอง!N588</f>
        <v>282941.02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กาญจนบุรี!I589+จันทบุรี!I589+ฉะเชิงเทรา!I589+ชลบุรี!I589+ชัยนาท!I589+ตราด!I589+นครนายก!I589+นครปฐม!I589+ปทุมธานี!I589+ประจวบคีรีขันธ์!I589+ปราจีนบุรี!I589+พระนครศรีอยุธยา!I589+เพชรบุรี!I589+ระยอง!I589+ราชบุรี!I589+ลพบุรี!I589+สระแก้ว!I589+สระบุรี!I589+สิงห์บุรี!I589+สุพรรณบุรี!I589+อ่างทอง!I589</f>
        <v>995</v>
      </c>
      <c r="J589" s="188">
        <f ca="1">กาญจนบุรี!J589+จันทบุรี!J589+ฉะเชิงเทรา!J589+ชลบุรี!J589+ชัยนาท!J589+ตราด!J589+นครนายก!J589+นครปฐม!J589+ปทุมธานี!J589+ประจวบคีรีขันธ์!J589+ปราจีนบุรี!J589+พระนครศรีอยุธยา!J589+เพชรบุรี!J589+ระยอง!J589+ราชบุรี!J589+ลพบุรี!J589+สระแก้ว!J589+สระบุรี!J589+สิงห์บุรี!J589+สุพรรณบุรี!J589+อ่างทอง!J589</f>
        <v>283</v>
      </c>
      <c r="K589" s="163">
        <f t="shared" ref="K589:K596" ca="1" si="73">IF(I589&gt;0,J589*100/I589,0)</f>
        <v>28.442211055276381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กาญจนบุรี!I590+จันทบุรี!I590+ฉะเชิงเทรา!I590+ชลบุรี!I590+ชัยนาท!I590+ตราด!I590+นครนายก!I590+นครปฐม!I590+ปทุมธานี!I590+ประจวบคีรีขันธ์!I590+ปราจีนบุรี!I590+พระนครศรีอยุธยา!I590+เพชรบุรี!I590+ระยอง!I590+ราชบุรี!I590+ลพบุรี!I590+สระแก้ว!I590+สระบุรี!I590+สิงห์บุรี!I590+สุพรรณบุรี!I590+อ่างทอง!I590</f>
        <v>0</v>
      </c>
      <c r="J590" s="188">
        <f ca="1">กาญจนบุรี!J590+จันทบุรี!J590+ฉะเชิงเทรา!J590+ชลบุรี!J590+ชัยนาท!J590+ตราด!J590+นครนายก!J590+นครปฐม!J590+ปทุมธานี!J590+ประจวบคีรีขันธ์!J590+ปราจีนบุรี!J590+พระนครศรีอยุธยา!J590+เพชรบุรี!J590+ระยอง!J590+ราชบุรี!J590+ลพบุรี!J590+สระแก้ว!J590+สระบุรี!J590+สิงห์บุรี!J590+สุพรรณบุรี!J590+อ่างทอง!J590</f>
        <v>199.63</v>
      </c>
      <c r="K590" s="479">
        <f t="shared" ca="1" si="73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กาญจนบุรี!I591+จันทบุรี!I591+ฉะเชิงเทรา!I591+ชลบุรี!I591+ชัยนาท!I591+ตราด!I591+นครนายก!I591+นครปฐม!I591+ปทุมธานี!I591+ประจวบคีรีขันธ์!I591+ปราจีนบุรี!I591+พระนครศรีอยุธยา!I591+เพชรบุรี!I591+ระยอง!I591+ราชบุรี!I591+ลพบุรี!I591+สระแก้ว!I591+สระบุรี!I591+สิงห์บุรี!I591+สุพรรณบุรี!I591+อ่างทอง!I591</f>
        <v>995</v>
      </c>
      <c r="J591" s="188">
        <f ca="1">กาญจนบุรี!J591+จันทบุรี!J591+ฉะเชิงเทรา!J591+ชลบุรี!J591+ชัยนาท!J591+ตราด!J591+นครนายก!J591+นครปฐม!J591+ปทุมธานี!J591+ประจวบคีรีขันธ์!J591+ปราจีนบุรี!J591+พระนครศรีอยุธยา!J591+เพชรบุรี!J591+ระยอง!J591+ราชบุรี!J591+ลพบุรี!J591+สระแก้ว!J591+สระบุรี!J591+สิงห์บุรี!J591+สุพรรณบุรี!J591+อ่างทอง!J591</f>
        <v>83</v>
      </c>
      <c r="K591" s="163">
        <f t="shared" ca="1" si="73"/>
        <v>8.3417085427135671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กาญจนบุรี!I592+จันทบุรี!I592+ฉะเชิงเทรา!I592+ชลบุรี!I592+ชัยนาท!I592+ตราด!I592+นครนายก!I592+นครปฐม!I592+ปทุมธานี!I592+ประจวบคีรีขันธ์!I592+ปราจีนบุรี!I592+พระนครศรีอยุธยา!I592+เพชรบุรี!I592+ระยอง!I592+ราชบุรี!I592+ลพบุรี!I592+สระแก้ว!I592+สระบุรี!I592+สิงห์บุรี!I592+สุพรรณบุรี!I592+อ่างทอง!I592</f>
        <v>0</v>
      </c>
      <c r="J592" s="188">
        <f ca="1">กาญจนบุรี!J592+จันทบุรี!J592+ฉะเชิงเทรา!J592+ชลบุรี!J592+ชัยนาท!J592+ตราด!J592+นครนายก!J592+นครปฐม!J592+ปทุมธานี!J592+ประจวบคีรีขันธ์!J592+ปราจีนบุรี!J592+พระนครศรีอยุธยา!J592+เพชรบุรี!J592+ระยอง!J592+ราชบุรี!J592+ลพบุรี!J592+สระแก้ว!J592+สระบุรี!J592+สิงห์บุรี!J592+สุพรรณบุรี!J592+อ่างทอง!J592</f>
        <v>34.979999999999997</v>
      </c>
      <c r="K592" s="342">
        <f t="shared" ca="1" si="73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กาญจนบุรี!I593+จันทบุรี!I593+ฉะเชิงเทรา!I593+ชลบุรี!I593+ชัยนาท!I593+ตราด!I593+นครนายก!I593+นครปฐม!I593+ปทุมธานี!I593+ประจวบคีรีขันธ์!I593+ปราจีนบุรี!I593+พระนครศรีอยุธยา!I593+เพชรบุรี!I593+ระยอง!I593+ราชบุรี!I593+ลพบุรี!I593+สระแก้ว!I593+สระบุรี!I593+สิงห์บุรี!I593+สุพรรณบุรี!I593+อ่างทอง!I593</f>
        <v>995</v>
      </c>
      <c r="J593" s="188">
        <f ca="1">กาญจนบุรี!J593+จันทบุรี!J593+ฉะเชิงเทรา!J593+ชลบุรี!J593+ชัยนาท!J593+ตราด!J593+นครนายก!J593+นครปฐม!J593+ปทุมธานี!J593+ประจวบคีรีขันธ์!J593+ปราจีนบุรี!J593+พระนครศรีอยุธยา!J593+เพชรบุรี!J593+ระยอง!J593+ราชบุรี!J593+ลพบุรี!J593+สระแก้ว!J593+สระบุรี!J593+สิงห์บุรี!J593+สุพรรณบุรี!J593+อ่างทอง!J593</f>
        <v>1</v>
      </c>
      <c r="K593" s="163">
        <f t="shared" ca="1" si="73"/>
        <v>0.10050251256281408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กาญจนบุรี!I594+จันทบุรี!I594+ฉะเชิงเทรา!I594+ชลบุรี!I594+ชัยนาท!I594+ตราด!I594+นครนายก!I594+นครปฐม!I594+ปทุมธานี!I594+ประจวบคีรีขันธ์!I594+ปราจีนบุรี!I594+พระนครศรีอยุธยา!I594+เพชรบุรี!I594+ระยอง!I594+ราชบุรี!I594+ลพบุรี!I594+สระแก้ว!I594+สระบุรี!I594+สิงห์บุรี!I594+สุพรรณบุรี!I594+อ่างทอง!I594</f>
        <v>0</v>
      </c>
      <c r="J594" s="188">
        <f ca="1">กาญจนบุรี!J594+จันทบุรี!J594+ฉะเชิงเทรา!J594+ชลบุรี!J594+ชัยนาท!J594+ตราด!J594+นครนายก!J594+นครปฐม!J594+ปทุมธานี!J594+ประจวบคีรีขันธ์!J594+ปราจีนบุรี!J594+พระนครศรีอยุธยา!J594+เพชรบุรี!J594+ระยอง!J594+ราชบุรี!J594+ลพบุรี!J594+สระแก้ว!J594+สระบุรี!J594+สิงห์บุรี!J594+สุพรรณบุรี!J594+อ่างทอง!J594</f>
        <v>0.59</v>
      </c>
      <c r="K594" s="342">
        <f t="shared" ca="1" si="73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กาญจนบุรี!I595+จันทบุรี!I595+ฉะเชิงเทรา!I595+ชลบุรี!I595+ชัยนาท!I595+ตราด!I595+นครนายก!I595+นครปฐม!I595+ปทุมธานี!I595+ประจวบคีรีขันธ์!I595+ปราจีนบุรี!I595+พระนครศรีอยุธยา!I595+เพชรบุรี!I595+ระยอง!I595+ราชบุรี!I595+ลพบุรี!I595+สระแก้ว!I595+สระบุรี!I595+สิงห์บุรี!I595+สุพรรณบุรี!I595+อ่างทอง!I595</f>
        <v>995</v>
      </c>
      <c r="J595" s="188">
        <f ca="1">กาญจนบุรี!J595+จันทบุรี!J595+ฉะเชิงเทรา!J595+ชลบุรี!J595+ชัยนาท!J595+ตราด!J595+นครนายก!J595+นครปฐม!J595+ปทุมธานี!J595+ประจวบคีรีขันธ์!J595+ปราจีนบุรี!J595+พระนครศรีอยุธยา!J595+เพชรบุรี!J595+ระยอง!J595+ราชบุรี!J595+ลพบุรี!J595+สระแก้ว!J595+สระบุรี!J595+สิงห์บุรี!J595+สุพรรณบุรี!J595+อ่างทอง!J595</f>
        <v>18</v>
      </c>
      <c r="K595" s="163">
        <f t="shared" ca="1" si="73"/>
        <v>1.8090452261306533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าญจนบุรี!I596+จันทบุรี!I596+ฉะเชิงเทรา!I596+ชลบุรี!I596+ชัยนาท!I596+ตราด!I596+นครนายก!I596+นครปฐม!I596+ปทุมธานี!I596+ประจวบคีรีขันธ์!I596+ปราจีนบุรี!I596+พระนครศรีอยุธยา!I596+เพชรบุรี!I596+ระยอง!I596+ราชบุรี!I596+ลพบุรี!I596+สระแก้ว!I596+สระบุรี!I596+สิงห์บุรี!I596+สุพรรณบุรี!I596+อ่างทอง!I596</f>
        <v>0</v>
      </c>
      <c r="J596" s="241">
        <f ca="1">กาญจนบุรี!J596+จันทบุรี!J596+ฉะเชิงเทรา!J596+ชลบุรี!J596+ชัยนาท!J596+ตราด!J596+นครนายก!J596+นครปฐม!J596+ปทุมธานี!J596+ประจวบคีรีขันธ์!J596+ปราจีนบุรี!J596+พระนครศรีอยุธยา!J596+เพชรบุรี!J596+ระยอง!J596+ราชบุรี!J596+ลพบุรี!J596+สระแก้ว!J596+สระบุรี!J596+สิงห์บุรี!J596+สุพรรณบุรี!J596+อ่างทอง!J596</f>
        <v>16.93</v>
      </c>
      <c r="K596" s="486">
        <f t="shared" ca="1" si="73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ญจนบุรี!I597+จันทบุรี!I597+ฉะเชิงเทรา!I597+ชลบุรี!I597+ชัยนาท!I597+ตราด!I597+นครนายก!I597+นครปฐม!I597+ปทุมธานี!I597+ประจวบคีรีขันธ์!I597+ปราจีนบุรี!I597+พระนครศรีอยุธยา!I597+เพชรบุรี!I597+ระยอง!I597+ราชบุรี!I597+ลพบุรี!I597+สระแก้ว!I597+สระบุรี!I597+สิงห์บุรี!I597+สุพรรณบุรี!I597+อ่างทอง!I597</f>
        <v>1632</v>
      </c>
      <c r="J597" s="487">
        <f ca="1">กาญจนบุรี!J597+จันทบุรี!J597+ฉะเชิงเทรา!J597+ชลบุรี!J597+ชัยนาท!J597+ตราด!J597+นครนายก!J597+นครปฐม!J597+ปทุมธานี!J597+ประจวบคีรีขันธ์!J597+ปราจีนบุรี!J597+พระนครศรีอยุธยา!J597+เพชรบุรี!J597+ระยอง!J597+ราชบุรี!J597+ลพบุรี!J597+สระแก้ว!J597+สระบุรี!J597+สิงห์บุรี!J597+สุพรรณบุรี!J597+อ่างทอง!J597</f>
        <v>0</v>
      </c>
      <c r="K597" s="411">
        <f ca="1">IF(I597&gt;0,J597*100/I597,0)</f>
        <v>0</v>
      </c>
      <c r="L597" s="412">
        <f ca="1">กาญจนบุรี!L597+จันทบุรี!L597+ฉะเชิงเทรา!L597+ชลบุรี!L597+ชัยนาท!L597+ตราด!L597+นครนายก!L597+นครปฐม!L597+ปทุมธานี!L597+ประจวบคีรีขันธ์!L597+ปราจีนบุรี!L597+พระนครศรีอยุธยา!L597+เพชรบุรี!L597+ระยอง!L597+ราชบุรี!L597+ลพบุรี!L597+สระแก้ว!L597+สระบุรี!L597+สิงห์บุรี!L597+สุพรรณบุรี!L597+อ่างทอง!L597</f>
        <v>148960</v>
      </c>
      <c r="M597" s="412"/>
      <c r="N597" s="412">
        <f ca="1">กาญจนบุรี!N597+จันทบุรี!N597+ฉะเชิงเทรา!N597+ชลบุรี!N597+ชัยนาท!N597+ตราด!N597+นครนายก!N597+นครปฐม!N597+ปทุมธานี!N597+ประจวบคีรีขันธ์!N597+ปราจีนบุรี!N597+พระนครศรีอยุธยา!N597+เพชรบุรี!N597+ระยอง!N597+ราชบุรี!N597+ลพบุรี!N597+สระแก้ว!N597+สระบุรี!N597+สิงห์บุรี!N597+สุพรรณบุรี!N597+อ่างทอง!N597</f>
        <v>42968.2</v>
      </c>
      <c r="O597" s="412">
        <f t="shared" ref="O597:O601" ca="1" si="74">+IF(L597&gt;0,N597*100/L597,0)</f>
        <v>28.845461868958111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ญจนบุรี!L598+จันทบุรี!L598+ฉะเชิงเทรา!L598+ชลบุรี!L598+ชัยนาท!L598+ตราด!L598+นครนายก!L598+นครปฐม!L598+ปทุมธานี!L598+ประจวบคีรีขันธ์!L598+ปราจีนบุรี!L598+พระนครศรีอยุธยา!L598+เพชรบุรี!L598+ระยอง!L598+ราชบุรี!L598+ลพบุรี!L598+สระแก้ว!L598+สระบุรี!L598+สิงห์บุรี!L598+สุพรรณบุรี!L598+อ่างทอง!L598</f>
        <v>0</v>
      </c>
      <c r="M598" s="164"/>
      <c r="N598" s="169">
        <f ca="1">กาญจนบุรี!N598+จันทบุรี!N598+ฉะเชิงเทรา!N598+ชลบุรี!N598+ชัยนาท!N598+ตราด!N598+นครนายก!N598+นครปฐม!N598+ปทุมธานี!N598+ประจวบคีรีขันธ์!N598+ปราจีนบุรี!N598+พระนครศรีอยุธยา!N598+เพชรบุรี!N598+ระยอง!N598+ราชบุรี!N598+ลพบุรี!N598+สระแก้ว!N598+สระบุรี!N598+สิงห์บุรี!N598+สุพรรณบุรี!N598+อ่างทอง!N598</f>
        <v>0</v>
      </c>
      <c r="O598" s="169">
        <f t="shared" ca="1" si="74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ญจนบุรี!L599+จันทบุรี!L599+ฉะเชิงเทรา!L599+ชลบุรี!L599+ชัยนาท!L599+ตราด!L599+นครนายก!L599+นครปฐม!L599+ปทุมธานี!L599+ประจวบคีรีขันธ์!L599+ปราจีนบุรี!L599+พระนครศรีอยุธยา!L599+เพชรบุรี!L599+ระยอง!L599+ราชบุรี!L599+ลพบุรี!L599+สระแก้ว!L599+สระบุรี!L599+สิงห์บุรี!L599+สุพรรณบุรี!L599+อ่างทอง!L599</f>
        <v>148960</v>
      </c>
      <c r="M599" s="165"/>
      <c r="N599" s="169">
        <f ca="1">กาญจนบุรี!N599+จันทบุรี!N599+ฉะเชิงเทรา!N599+ชลบุรี!N599+ชัยนาท!N599+ตราด!N599+นครนายก!N599+นครปฐม!N599+ปทุมธานี!N599+ประจวบคีรีขันธ์!N599+ปราจีนบุรี!N599+พระนครศรีอยุธยา!N599+เพชรบุรี!N599+ระยอง!N599+ราชบุรี!N599+ลพบุรี!N599+สระแก้ว!N599+สระบุรี!N599+สิงห์บุรี!N599+สุพรรณบุรี!N599+อ่างทอง!N599</f>
        <v>42968.2</v>
      </c>
      <c r="O599" s="169">
        <f t="shared" ca="1" si="74"/>
        <v>28.845461868958111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ญจนบุรี!L600+จันทบุรี!L600+ฉะเชิงเทรา!L600+ชลบุรี!L600+ชัยนาท!L600+ตราด!L600+นครนายก!L600+นครปฐม!L600+ปทุมธานี!L600+ประจวบคีรีขันธ์!L600+ปราจีนบุรี!L600+พระนครศรีอยุธยา!L600+เพชรบุรี!L600+ระยอง!L600+ราชบุรี!L600+ลพบุรี!L600+สระแก้ว!L600+สระบุรี!L600+สิงห์บุรี!L600+สุพรรณบุรี!L600+อ่างทอง!L600</f>
        <v>0</v>
      </c>
      <c r="M600" s="169"/>
      <c r="N600" s="169">
        <f ca="1">กาญจนบุรี!N600+จันทบุรี!N600+ฉะเชิงเทรา!N600+ชลบุรี!N600+ชัยนาท!N600+ตราด!N600+นครนายก!N600+นครปฐม!N600+ปทุมธานี!N600+ประจวบคีรีขันธ์!N600+ปราจีนบุรี!N600+พระนครศรีอยุธยา!N600+เพชรบุรี!N600+ระยอง!N600+ราชบุรี!N600+ลพบุรี!N600+สระแก้ว!N600+สระบุรี!N600+สิงห์บุรี!N600+สุพรรณบุรี!N600+อ่างทอง!N600</f>
        <v>0</v>
      </c>
      <c r="O600" s="169">
        <f t="shared" ca="1" si="74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ญจนบุรี!L601+จันทบุรี!L601+ฉะเชิงเทรา!L601+ชลบุรี!L601+ชัยนาท!L601+ตราด!L601+นครนายก!L601+นครปฐม!L601+ปทุมธานี!L601+ประจวบคีรีขันธ์!L601+ปราจีนบุรี!L601+พระนครศรีอยุธยา!L601+เพชรบุรี!L601+ระยอง!L601+ราชบุรี!L601+ลพบุรี!L601+สระแก้ว!L601+สระบุรี!L601+สิงห์บุรี!L601+สุพรรณบุรี!L601+อ่างทอง!L601</f>
        <v>148960</v>
      </c>
      <c r="M601" s="169"/>
      <c r="N601" s="169">
        <f ca="1">กาญจนบุรี!N601+จันทบุรี!N601+ฉะเชิงเทรา!N601+ชลบุรี!N601+ชัยนาท!N601+ตราด!N601+นครนายก!N601+นครปฐม!N601+ปทุมธานี!N601+ประจวบคีรีขันธ์!N601+ปราจีนบุรี!N601+พระนครศรีอยุธยา!N601+เพชรบุรี!N601+ระยอง!N601+ราชบุรี!N601+ลพบุรี!N601+สระแก้ว!N601+สระบุรี!N601+สิงห์บุรี!N601+สุพรรณบุรี!N601+อ่างทอง!N601</f>
        <v>42968.2</v>
      </c>
      <c r="O601" s="169">
        <f t="shared" ca="1" si="74"/>
        <v>28.845461868958111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กาญจนบุรี!N602+จันทบุรี!N602+ฉะเชิงเทรา!N602+ชลบุรี!N602+ชัยนาท!N602+ตราด!N602+นครนายก!N602+นครปฐม!N602+ปทุมธานี!N602+ประจวบคีรีขันธ์!N602+ปราจีนบุรี!N602+พระนครศรีอยุธยา!N602+เพชรบุรี!N602+ระยอง!N602+ราชบุรี!N602+ลพบุรี!N602+สระแก้ว!N602+สระบุรี!N602+สิงห์บุรี!N602+สุพรรณบุรี!N602+อ่างทอง!N602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กาญจนบุรี!N603+จันทบุรี!N603+ฉะเชิงเทรา!N603+ชลบุรี!N603+ชัยนาท!N603+ตราด!N603+นครนายก!N603+นครปฐม!N603+ปทุมธานี!N603+ประจวบคีรีขันธ์!N603+ปราจีนบุรี!N603+พระนครศรีอยุธยา!N603+เพชรบุรี!N603+ระยอง!N603+ราชบุรี!N603+ลพบุรี!N603+สระแก้ว!N603+สระบุรี!N603+สิงห์บุรี!N603+สุพรรณบุรี!N603+อ่างทอง!N603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กาญจนบุรี!N604+จันทบุรี!N604+ฉะเชิงเทรา!N604+ชลบุรี!N604+ชัยนาท!N604+ตราด!N604+นครนายก!N604+นครปฐม!N604+ปทุมธานี!N604+ประจวบคีรีขันธ์!N604+ปราจีนบุรี!N604+พระนครศรีอยุธยา!N604+เพชรบุรี!N604+ระยอง!N604+ราชบุรี!N604+ลพบุรี!N604+สระแก้ว!N604+สระบุรี!N604+สิงห์บุรี!N604+สุพรรณบุรี!N604+อ่างทอง!N604</f>
        <v>4800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กาญจนบุรี!N605+จันทบุรี!N605+ฉะเชิงเทรา!N605+ชลบุรี!N605+ชัยนาท!N605+ตราด!N605+นครนายก!N605+นครปฐม!N605+ปทุมธานี!N605+ประจวบคีรีขันธ์!N605+ปราจีนบุรี!N605+พระนครศรีอยุธยา!N605+เพชรบุรี!N605+ระยอง!N605+ราชบุรี!N605+ลพบุรี!N605+สระแก้ว!N605+สระบุรี!N605+สิงห์บุรี!N605+สุพรรณบุรี!N605+อ่างทอง!N605</f>
        <v>38168.199999999997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ญจนบุรี!J607+จันทบุรี!J607+ฉะเชิงเทรา!J607+ชลบุรี!J607+ชัยนาท!J607+ตราด!J607+นครนายก!J607+นครปฐม!J607+ปทุมธานี!J607+ประจวบคีรีขันธ์!J607+ปราจีนบุรี!J607+พระนครศรีอยุธยา!J607+เพชรบุรี!J607+ระยอง!J607+ราชบุรี!J607+ลพบุรี!J607+สระแก้ว!J607+สระบุรี!J607+สิงห์บุรี!J607+สุพรรณบุรี!J607+อ่างทอง!J607</f>
        <v>1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ญจนบุรี!J608+จันทบุรี!J608+ฉะเชิงเทรา!J608+ชลบุรี!J608+ชัยนาท!J608+ตราด!J608+นครนายก!J608+นครปฐม!J608+ปทุมธานี!J608+ประจวบคีรีขันธ์!J608+ปราจีนบุรี!J608+พระนครศรีอยุธยา!J608+เพชรบุรี!J608+ระยอง!J608+ราชบุรี!J608+ลพบุรี!J608+สระแก้ว!J608+สระบุรี!J608+สิงห์บุรี!J608+สุพรรณบุรี!J608+อ่างทอง!J608</f>
        <v>19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กาญจนบุรี!J609+จันทบุรี!J609+ฉะเชิงเทรา!J609+ชลบุรี!J609+ชัยนาท!J609+ตราด!J609+นครนายก!J609+นครปฐม!J609+ปทุมธานี!J609+ประจวบคีรีขันธ์!J609+ปราจีนบุรี!J609+พระนครศรีอยุธยา!J609+เพชรบุรี!J609+ระยอง!J609+ราชบุรี!J609+ลพบุรี!J609+สระแก้ว!J609+สระบุรี!J609+สิงห์บุรี!J609+สุพรรณบุรี!J609+อ่างทอง!J609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กาญจนบุรี!J610+จันทบุรี!J610+ฉะเชิงเทรา!J610+ชลบุรี!J610+ชัยนาท!J610+ตราด!J610+นครนายก!J610+นครปฐม!J610+ปทุมธานี!J610+ประจวบคีรีขันธ์!J610+ปราจีนบุรี!J610+พระนครศรีอยุธยา!J610+เพชรบุรี!J610+ระยอง!J610+ราชบุรี!J610+ลพบุรี!J610+สระแก้ว!J610+สระบุรี!J610+สิงห์บุรี!J610+สุพรรณบุรี!J610+อ่างทอง!J610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ญจนบุรี!I611+จันทบุรี!I611+ฉะเชิงเทรา!I611+ชลบุรี!I611+ชัยนาท!I611+ตราด!I611+นครนายก!I611+นครปฐม!I611+ปทุมธานี!I611+ประจวบคีรีขันธ์!I611+ปราจีนบุรี!I611+พระนครศรีอยุธยา!I611+เพชรบุรี!I611+ระยอง!I611+ราชบุรี!I611+ลพบุรี!I611+สระแก้ว!I611+สระบุรี!I611+สิงห์บุรี!I611+สุพรรณบุรี!I611+อ่างทอง!I611</f>
        <v>1632</v>
      </c>
      <c r="J611" s="162">
        <f ca="1">กาญจนบุรี!J611+จันทบุรี!J611+ฉะเชิงเทรา!J611+ชลบุรี!J611+ชัยนาท!J611+ตราด!J611+นครนายก!J611+นครปฐม!J611+ปทุมธานี!J611+ประจวบคีรีขันธ์!J611+ปราจีนบุรี!J611+พระนครศรีอยุธยา!J611+เพชรบุรี!J611+ระยอง!J611+ราชบุรี!J611+ลพบุรี!J611+สระแก้ว!J611+สระบุรี!J611+สิงห์บุรี!J611+สุพรรณบุรี!J611+อ่างทอง!J611</f>
        <v>0</v>
      </c>
      <c r="K611" s="163">
        <f t="shared" ref="K611:K619" ca="1" si="75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กาญจนบุรี!I612+จันทบุรี!I612+ฉะเชิงเทรา!I612+ชลบุรี!I612+ชัยนาท!I612+ตราด!I612+นครนายก!I612+นครปฐม!I612+ปทุมธานี!I612+ประจวบคีรีขันธ์!I612+ปราจีนบุรี!I612+พระนครศรีอยุธยา!I612+เพชรบุรี!I612+ระยอง!I612+ราชบุรี!I612+ลพบุรี!I612+สระแก้ว!I612+สระบุรี!I612+สิงห์บุรี!I612+สุพรรณบุรี!I612+อ่างทอง!I612</f>
        <v>0</v>
      </c>
      <c r="J612" s="198">
        <f ca="1">กาญจนบุรี!J612+จันทบุรี!J612+ฉะเชิงเทรา!J612+ชลบุรี!J612+ชัยนาท!J612+ตราด!J612+นครนายก!J612+นครปฐม!J612+ปทุมธานี!J612+ประจวบคีรีขันธ์!J612+ปราจีนบุรี!J612+พระนครศรีอยุธยา!J612+เพชรบุรี!J612+ระยอง!J612+ราชบุรี!J612+ลพบุรี!J612+สระแก้ว!J612+สระบุรี!J612+สิงห์บุรี!J612+สุพรรณบุรี!J612+อ่างทอง!J612</f>
        <v>1656.6849999999999</v>
      </c>
      <c r="K612" s="163">
        <f t="shared" ca="1" si="75"/>
        <v>101.51256127450981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กาญจนบุรี!I613+จันทบุรี!I613+ฉะเชิงเทรา!I613+ชลบุรี!I613+ชัยนาท!I613+ตราด!I613+นครนายก!I613+นครปฐม!I613+ปทุมธานี!I613+ประจวบคีรีขันธ์!I613+ปราจีนบุรี!I613+พระนครศรีอยุธยา!I613+เพชรบุรี!I613+ระยอง!I613+ราชบุรี!I613+ลพบุรี!I613+สระแก้ว!I613+สระบุรี!I613+สิงห์บุรี!I613+สุพรรณบุรี!I613+อ่างทอง!I613</f>
        <v>0</v>
      </c>
      <c r="J613" s="198">
        <f ca="1">กาญจนบุรี!J613+จันทบุรี!J613+ฉะเชิงเทรา!J613+ชลบุรี!J613+ชัยนาท!J613+ตราด!J613+นครนายก!J613+นครปฐม!J613+ปทุมธานี!J613+ประจวบคีรีขันธ์!J613+ปราจีนบุรี!J613+พระนครศรีอยุธยา!J613+เพชรบุรี!J613+ระยอง!J613+ราชบุรี!J613+ลพบุรี!J613+สระแก้ว!J613+สระบุรี!J613+สิงห์บุรี!J613+สุพรรณบุรี!J613+อ่างทอง!J613</f>
        <v>1188.6300000000001</v>
      </c>
      <c r="K613" s="163">
        <f t="shared" ca="1" si="75"/>
        <v>72.832720588235304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กาญจนบุรี!I614+จันทบุรี!I614+ฉะเชิงเทรา!I614+ชลบุรี!I614+ชัยนาท!I614+ตราด!I614+นครนายก!I614+นครปฐม!I614+ปทุมธานี!I614+ประจวบคีรีขันธ์!I614+ปราจีนบุรี!I614+พระนครศรีอยุธยา!I614+เพชรบุรี!I614+ระยอง!I614+ราชบุรี!I614+ลพบุรี!I614+สระแก้ว!I614+สระบุรี!I614+สิงห์บุรี!I614+สุพรรณบุรี!I614+อ่างทอง!I614</f>
        <v>0</v>
      </c>
      <c r="J614" s="198">
        <f ca="1">กาญจนบุรี!J614+จันทบุรี!J614+ฉะเชิงเทรา!J614+ชลบุรี!J614+ชัยนาท!J614+ตราด!J614+นครนายก!J614+นครปฐม!J614+ปทุมธานี!J614+ประจวบคีรีขันธ์!J614+ปราจีนบุรี!J614+พระนครศรีอยุธยา!J614+เพชรบุรี!J614+ระยอง!J614+ราชบุรี!J614+ลพบุรี!J614+สระแก้ว!J614+สระบุรี!J614+สิงห์บุรี!J614+สุพรรณบุรี!J614+อ่างทอง!J614</f>
        <v>1021</v>
      </c>
      <c r="K614" s="163">
        <f t="shared" ca="1" si="75"/>
        <v>62.561274509803923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กาญจนบุรี!I615+จันทบุรี!I615+ฉะเชิงเทรา!I615+ชลบุรี!I615+ชัยนาท!I615+ตราด!I615+นครนายก!I615+นครปฐม!I615+ปทุมธานี!I615+ประจวบคีรีขันธ์!I615+ปราจีนบุรี!I615+พระนครศรีอยุธยา!I615+เพชรบุรี!I615+ระยอง!I615+ราชบุรี!I615+ลพบุรี!I615+สระแก้ว!I615+สระบุรี!I615+สิงห์บุรี!I615+สุพรรณบุรี!I615+อ่างทอง!I615</f>
        <v>0</v>
      </c>
      <c r="J615" s="198">
        <f ca="1">กาญจนบุรี!J615+จันทบุรี!J615+ฉะเชิงเทรา!J615+ชลบุรี!J615+ชัยนาท!J615+ตราด!J615+นครนายก!J615+นครปฐม!J615+ปทุมธานี!J615+ประจวบคีรีขันธ์!J615+ปราจีนบุรี!J615+พระนครศรีอยุธยา!J615+เพชรบุรี!J615+ระยอง!J615+ราชบุรี!J615+ลพบุรี!J615+สระแก้ว!J615+สระบุรี!J615+สิงห์บุรี!J615+สุพรรณบุรี!J615+อ่างทอง!J615</f>
        <v>938</v>
      </c>
      <c r="K615" s="163">
        <f t="shared" ca="1" si="75"/>
        <v>57.475490196078432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ญจนบุรี!I616+จันทบุรี!I616+ฉะเชิงเทรา!I616+ชลบุรี!I616+ชัยนาท!I616+ตราด!I616+นครนายก!I616+นครปฐม!I616+ปทุมธานี!I616+ประจวบคีรีขันธ์!I616+ปราจีนบุรี!I616+พระนครศรีอยุธยา!I616+เพชรบุรี!I616+ระยอง!I616+ราชบุรี!I616+ลพบุรี!I616+สระแก้ว!I616+สระบุรี!I616+สิงห์บุรี!I616+สุพรรณบุรี!I616+อ่างทอง!I616</f>
        <v>0</v>
      </c>
      <c r="J616" s="198">
        <f ca="1">กาญจนบุรี!J616+จันทบุรี!J616+ฉะเชิงเทรา!J616+ชลบุรี!J616+ชัยนาท!J616+ตราด!J616+นครนายก!J616+นครปฐม!J616+ปทุมธานี!J616+ประจวบคีรีขันธ์!J616+ปราจีนบุรี!J616+พระนครศรีอยุธยา!J616+เพชรบุรี!J616+ระยอง!J616+ราชบุรี!J616+ลพบุรี!J616+สระแก้ว!J616+สระบุรี!J616+สิงห์บุรี!J616+สุพรรณบุรี!J616+อ่างทอง!J616</f>
        <v>252</v>
      </c>
      <c r="K616" s="163">
        <f t="shared" ca="1" si="75"/>
        <v>15.441176470588236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ญจนบุรี!I617+จันทบุรี!I617+ฉะเชิงเทรา!I617+ชลบุรี!I617+ชัยนาท!I617+ตราด!I617+นครนายก!I617+นครปฐม!I617+ปทุมธานี!I617+ประจวบคีรีขันธ์!I617+ปราจีนบุรี!I617+พระนครศรีอยุธยา!I617+เพชรบุรี!I617+ระยอง!I617+ราชบุรี!I617+ลพบุรี!I617+สระแก้ว!I617+สระบุรี!I617+สิงห์บุรี!I617+สุพรรณบุรี!I617+อ่างทอง!I617</f>
        <v>0</v>
      </c>
      <c r="J617" s="188">
        <f ca="1">กาญจนบุรี!J617+จันทบุรี!J617+ฉะเชิงเทรา!J617+ชลบุรี!J617+ชัยนาท!J617+ตราด!J617+นครนายก!J617+นครปฐม!J617+ปทุมธานี!J617+ประจวบคีรีขันธ์!J617+ปราจีนบุรี!J617+พระนครศรีอยุธยา!J617+เพชรบุรี!J617+ระยอง!J617+ราชบุรี!J617+ลพบุรี!J617+สระแก้ว!J617+สระบุรี!J617+สิงห์บุรี!J617+สุพรรณบุรี!J617+อ่างทอง!J617</f>
        <v>0</v>
      </c>
      <c r="K617" s="163">
        <f t="shared" ca="1" si="75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กาญจนบุรี!I618+จันทบุรี!I618+ฉะเชิงเทรา!I618+ชลบุรี!I618+ชัยนาท!I618+ตราด!I618+นครนายก!I618+นครปฐม!I618+ปทุมธานี!I618+ประจวบคีรีขันธ์!I618+ปราจีนบุรี!I618+พระนครศรีอยุธยา!I618+เพชรบุรี!I618+ระยอง!I618+ราชบุรี!I618+ลพบุรี!I618+สระแก้ว!I618+สระบุรี!I618+สิงห์บุรี!I618+สุพรรณบุรี!I618+อ่างทอง!I618</f>
        <v>0</v>
      </c>
      <c r="J618" s="189">
        <f ca="1">กาญจนบุรี!J618+จันทบุรี!J618+ฉะเชิงเทรา!J618+ชลบุรี!J618+ชัยนาท!J618+ตราด!J618+นครนายก!J618+นครปฐม!J618+ปทุมธานี!J618+ประจวบคีรีขันธ์!J618+ปราจีนบุรี!J618+พระนครศรีอยุธยา!J618+เพชรบุรี!J618+ระยอง!J618+ราชบุรี!J618+ลพบุรี!J618+สระแก้ว!J618+สระบุรี!J618+สิงห์บุรี!J618+สุพรรณบุรี!J618+อ่างทอง!J618</f>
        <v>0</v>
      </c>
      <c r="K618" s="163">
        <f t="shared" ca="1" si="75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กาญจนบุรี!I619+จันทบุรี!I619+ฉะเชิงเทรา!I619+ชลบุรี!I619+ชัยนาท!I619+ตราด!I619+นครนายก!I619+นครปฐม!I619+ปทุมธานี!I619+ประจวบคีรีขันธ์!I619+ปราจีนบุรี!I619+พระนครศรีอยุธยา!I619+เพชรบุรี!I619+ระยอง!I619+ราชบุรี!I619+ลพบุรี!I619+สระแก้ว!I619+สระบุรี!I619+สิงห์บุรี!I619+สุพรรณบุรี!I619+อ่างทอง!I619</f>
        <v>0</v>
      </c>
      <c r="J619" s="189">
        <f ca="1">กาญจนบุรี!J619+จันทบุรี!J619+ฉะเชิงเทรา!J619+ชลบุรี!J619+ชัยนาท!J619+ตราด!J619+นครนายก!J619+นครปฐม!J619+ปทุมธานี!J619+ประจวบคีรีขันธ์!J619+ปราจีนบุรี!J619+พระนครศรีอยุธยา!J619+เพชรบุรี!J619+ระยอง!J619+ราชบุรี!J619+ลพบุรี!J619+สระแก้ว!J619+สระบุรี!J619+สิงห์บุรี!J619+สุพรรณบุรี!J619+อ่างทอง!J619</f>
        <v>0</v>
      </c>
      <c r="K619" s="163">
        <f t="shared" ca="1" si="75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ญจนบุรี!I620+จันทบุรี!I620+ฉะเชิงเทรา!I620+ชลบุรี!I620+ชัยนาท!I620+ตราด!I620+นครนายก!I620+นครปฐม!I620+ปทุมธานี!I620+ประจวบคีรีขันธ์!I620+ปราจีนบุรี!I620+พระนครศรีอยุธยา!I620+เพชรบุรี!I620+ระยอง!I620+ราชบุรี!I620+ลพบุรี!I620+สระแก้ว!I620+สระบุรี!I620+สิงห์บุรี!I620+สุพรรณบุรี!I620+อ่างทอง!I620</f>
        <v>2051</v>
      </c>
      <c r="J620" s="203">
        <f ca="1">กาญจนบุรี!J620+จันทบุรี!J620+ฉะเชิงเทรา!J620+ชลบุรี!J620+ชัยนาท!J620+ตราด!J620+นครนายก!J620+นครปฐม!J620+ปทุมธานี!J620+ประจวบคีรีขันธ์!J620+ปราจีนบุรี!J620+พระนครศรีอยุธยา!J620+เพชรบุรี!J620+ระยอง!J620+ราชบุรี!J620+ลพบุรี!J620+สระแก้ว!J620+สระบุรี!J620+สิงห์บุรี!J620+สุพรรณบุรี!J620+อ่างทอง!J620</f>
        <v>0</v>
      </c>
      <c r="K620" s="163">
        <f t="shared" ref="K620:K626" ca="1" si="76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กาญจนบุรี!I621+จันทบุรี!I621+ฉะเชิงเทรา!I621+ชลบุรี!I621+ชัยนาท!I621+ตราด!I621+นครนายก!I621+นครปฐม!I621+ปทุมธานี!I621+ประจวบคีรีขันธ์!I621+ปราจีนบุรี!I621+พระนครศรีอยุธยา!I621+เพชรบุรี!I621+ระยอง!I621+ราชบุรี!I621+ลพบุรี!I621+สระแก้ว!I621+สระบุรี!I621+สิงห์บุรี!I621+สุพรรณบุรี!I621+อ่างทอง!I621</f>
        <v>0</v>
      </c>
      <c r="J621" s="203">
        <f ca="1">กาญจนบุรี!J621+จันทบุรี!J621+ฉะเชิงเทรา!J621+ชลบุรี!J621+ชัยนาท!J621+ตราด!J621+นครนายก!J621+นครปฐม!J621+ปทุมธานี!J621+ประจวบคีรีขันธ์!J621+ปราจีนบุรี!J621+พระนครศรีอยุธยา!J621+เพชรบุรี!J621+ระยอง!J621+ราชบุรี!J621+ลพบุรี!J621+สระแก้ว!J621+สระบุรี!J621+สิงห์บุรี!J621+สุพรรณบุรี!J621+อ่างทอง!J621</f>
        <v>0</v>
      </c>
      <c r="K621" s="163">
        <f t="shared" ca="1" si="76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กาญจนบุรี!I622+จันทบุรี!I622+ฉะเชิงเทรา!I622+ชลบุรี!I622+ชัยนาท!I622+ตราด!I622+นครนายก!I622+นครปฐม!I622+ปทุมธานี!I622+ประจวบคีรีขันธ์!I622+ปราจีนบุรี!I622+พระนครศรีอยุธยา!I622+เพชรบุรี!I622+ระยอง!I622+ราชบุรี!I622+ลพบุรี!I622+สระแก้ว!I622+สระบุรี!I622+สิงห์บุรี!I622+สุพรรณบุรี!I622+อ่างทอง!I622</f>
        <v>0</v>
      </c>
      <c r="J622" s="189">
        <f ca="1">กาญจนบุรี!J622+จันทบุรี!J622+ฉะเชิงเทรา!J622+ชลบุรี!J622+ชัยนาท!J622+ตราด!J622+นครนายก!J622+นครปฐม!J622+ปทุมธานี!J622+ประจวบคีรีขันธ์!J622+ปราจีนบุรี!J622+พระนครศรีอยุธยา!J622+เพชรบุรี!J622+ระยอง!J622+ราชบุรี!J622+ลพบุรี!J622+สระแก้ว!J622+สระบุรี!J622+สิงห์บุรี!J622+สุพรรณบุรี!J622+อ่างทอง!J622</f>
        <v>0</v>
      </c>
      <c r="K622" s="163">
        <f t="shared" ca="1" si="76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กาญจนบุรี!I623+จันทบุรี!I623+ฉะเชิงเทรา!I623+ชลบุรี!I623+ชัยนาท!I623+ตราด!I623+นครนายก!I623+นครปฐม!I623+ปทุมธานี!I623+ประจวบคีรีขันธ์!I623+ปราจีนบุรี!I623+พระนครศรีอยุธยา!I623+เพชรบุรี!I623+ระยอง!I623+ราชบุรี!I623+ลพบุรี!I623+สระแก้ว!I623+สระบุรี!I623+สิงห์บุรี!I623+สุพรรณบุรี!I623+อ่างทอง!I623</f>
        <v>0</v>
      </c>
      <c r="J623" s="189">
        <f ca="1">กาญจนบุรี!J623+จันทบุรี!J623+ฉะเชิงเทรา!J623+ชลบุรี!J623+ชัยนาท!J623+ตราด!J623+นครนายก!J623+นครปฐม!J623+ปทุมธานี!J623+ประจวบคีรีขันธ์!J623+ปราจีนบุรี!J623+พระนครศรีอยุธยา!J623+เพชรบุรี!J623+ระยอง!J623+ราชบุรี!J623+ลพบุรี!J623+สระแก้ว!J623+สระบุรี!J623+สิงห์บุรี!J623+สุพรรณบุรี!J623+อ่างทอง!J623</f>
        <v>0</v>
      </c>
      <c r="K623" s="163">
        <f t="shared" ca="1" si="76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กาญจนบุรี!I624+จันทบุรี!I624+ฉะเชิงเทรา!I624+ชลบุรี!I624+ชัยนาท!I624+ตราด!I624+นครนายก!I624+นครปฐม!I624+ปทุมธานี!I624+ประจวบคีรีขันธ์!I624+ปราจีนบุรี!I624+พระนครศรีอยุธยา!I624+เพชรบุรี!I624+ระยอง!I624+ราชบุรี!I624+ลพบุรี!I624+สระแก้ว!I624+สระบุรี!I624+สิงห์บุรี!I624+สุพรรณบุรี!I624+อ่างทอง!I624</f>
        <v>0</v>
      </c>
      <c r="J624" s="188">
        <f ca="1">กาญจนบุรี!J624+จันทบุรี!J624+ฉะเชิงเทรา!J624+ชลบุรี!J624+ชัยนาท!J624+ตราด!J624+นครนายก!J624+นครปฐม!J624+ปทุมธานี!J624+ประจวบคีรีขันธ์!J624+ปราจีนบุรี!J624+พระนครศรีอยุธยา!J624+เพชรบุรี!J624+ระยอง!J624+ราชบุรี!J624+ลพบุรี!J624+สระแก้ว!J624+สระบุรี!J624+สิงห์บุรี!J624+สุพรรณบุรี!J624+อ่างทอง!J624</f>
        <v>0</v>
      </c>
      <c r="K624" s="163">
        <f t="shared" ca="1" si="76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กาญจนบุรี!I625+จันทบุรี!I625+ฉะเชิงเทรา!I625+ชลบุรี!I625+ชัยนาท!I625+ตราด!I625+นครนายก!I625+นครปฐม!I625+ปทุมธานี!I625+ประจวบคีรีขันธ์!I625+ปราจีนบุรี!I625+พระนครศรีอยุธยา!I625+เพชรบุรี!I625+ระยอง!I625+ราชบุรี!I625+ลพบุรี!I625+สระแก้ว!I625+สระบุรี!I625+สิงห์บุรี!I625+สุพรรณบุรี!I625+อ่างทอง!I625</f>
        <v>0</v>
      </c>
      <c r="J625" s="189">
        <f ca="1">กาญจนบุรี!J625+จันทบุรี!J625+ฉะเชิงเทรา!J625+ชลบุรี!J625+ชัยนาท!J625+ตราด!J625+นครนายก!J625+นครปฐม!J625+ปทุมธานี!J625+ประจวบคีรีขันธ์!J625+ปราจีนบุรี!J625+พระนครศรีอยุธยา!J625+เพชรบุรี!J625+ระยอง!J625+ราชบุรี!J625+ลพบุรี!J625+สระแก้ว!J625+สระบุรี!J625+สิงห์บุรี!J625+สุพรรณบุรี!J625+อ่างทอง!J625</f>
        <v>0</v>
      </c>
      <c r="K625" s="163">
        <f t="shared" ca="1" si="76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กาญจนบุรี!I626+จันทบุรี!I626+ฉะเชิงเทรา!I626+ชลบุรี!I626+ชัยนาท!I626+ตราด!I626+นครนายก!I626+นครปฐม!I626+ปทุมธานี!I626+ประจวบคีรีขันธ์!I626+ปราจีนบุรี!I626+พระนครศรีอยุธยา!I626+เพชรบุรี!I626+ระยอง!I626+ราชบุรี!I626+ลพบุรี!I626+สระแก้ว!I626+สระบุรี!I626+สิงห์บุรี!I626+สุพรรณบุรี!I626+อ่างทอง!I626</f>
        <v>0</v>
      </c>
      <c r="J626" s="189">
        <f ca="1">กาญจนบุรี!J626+จันทบุรี!J626+ฉะเชิงเทรา!J626+ชลบุรี!J626+ชัยนาท!J626+ตราด!J626+นครนายก!J626+นครปฐม!J626+ปทุมธานี!J626+ประจวบคีรีขันธ์!J626+ปราจีนบุรี!J626+พระนครศรีอยุธยา!J626+เพชรบุรี!J626+ระยอง!J626+ราชบุรี!J626+ลพบุรี!J626+สระแก้ว!J626+สระบุรี!J626+สิงห์บุรี!J626+สุพรรณบุรี!J626+อ่างทอง!J626</f>
        <v>0</v>
      </c>
      <c r="K626" s="163">
        <f t="shared" ca="1" si="76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กาญจนบุรี!I628+จันทบุรี!I628+ฉะเชิงเทรา!I628+ชลบุรี!I628+ชัยนาท!I628+ตราด!I628+นครนายก!I628+นครปฐม!I628+ปทุมธานี!I628+ประจวบคีรีขันธ์!I628+ปราจีนบุรี!I628+พระนครศรีอยุธยา!I628+เพชรบุรี!I628+ระยอง!I628+ราชบุรี!I628+ลพบุรี!I628+สระแก้ว!I628+สระบุรี!I628+สิงห์บุรี!I628+สุพรรณบุรี!I628+อ่างทอง!I628</f>
        <v>96557254.699999988</v>
      </c>
      <c r="J628" s="341">
        <f ca="1">กาญจนบุรี!J628+จันทบุรี!J628+ฉะเชิงเทรา!J628+ชลบุรี!J628+ชัยนาท!J628+ตราด!J628+นครนายก!J628+นครปฐม!J628+ปทุมธานี!J628+ประจวบคีรีขันธ์!J628+ปราจีนบุรี!J628+พระนครศรีอยุธยา!J628+เพชรบุรี!J628+ระยอง!J628+ราชบุรี!J628+ลพบุรี!J628+สระแก้ว!J628+สระบุรี!J628+สิงห์บุรี!J628+สุพรรณบุรี!J628+อ่างทอง!J628</f>
        <v>32577741.25</v>
      </c>
      <c r="K628" s="342">
        <f t="shared" ref="K628:K635" ca="1" si="77">IF(I628&gt;0,J628*100/I628,0)</f>
        <v>33.739299394144858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กาญจนบุรี!I629+จันทบุรี!I629+ฉะเชิงเทรา!I629+ชลบุรี!I629+ชัยนาท!I629+ตราด!I629+นครนายก!I629+นครปฐม!I629+ปทุมธานี!I629+ประจวบคีรีขันธ์!I629+ปราจีนบุรี!I629+พระนครศรีอยุธยา!I629+เพชรบุรี!I629+ระยอง!I629+ราชบุรี!I629+ลพบุรี!I629+สระแก้ว!I629+สระบุรี!I629+สิงห์บุรี!I629+สุพรรณบุรี!I629+อ่างทอง!I629</f>
        <v>3830</v>
      </c>
      <c r="J629" s="341">
        <f ca="1">กาญจนบุรี!J629+จันทบุรี!J629+ฉะเชิงเทรา!J629+ชลบุรี!J629+ชัยนาท!J629+ตราด!J629+นครนายก!J629+นครปฐม!J629+ปทุมธานี!J629+ประจวบคีรีขันธ์!J629+ปราจีนบุรี!J629+พระนครศรีอยุธยา!J629+เพชรบุรี!J629+ระยอง!J629+ราชบุรี!J629+ลพบุรี!J629+สระแก้ว!J629+สระบุรี!J629+สิงห์บุรี!J629+สุพรรณบุรี!J629+อ่างทอง!J629</f>
        <v>1510</v>
      </c>
      <c r="K629" s="342">
        <f t="shared" ca="1" si="77"/>
        <v>39.425587467362924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กาญจนบุรี!I630+จันทบุรี!I630+ฉะเชิงเทรา!I630+ชลบุรี!I630+ชัยนาท!I630+ตราด!I630+นครนายก!I630+นครปฐม!I630+ปทุมธานี!I630+ประจวบคีรีขันธ์!I630+ปราจีนบุรี!I630+พระนครศรีอยุธยา!I630+เพชรบุรี!I630+ระยอง!I630+ราชบุรี!I630+ลพบุรี!I630+สระแก้ว!I630+สระบุรี!I630+สิงห์บุรี!I630+สุพรรณบุรี!I630+อ่างทอง!I630</f>
        <v>116418034.64</v>
      </c>
      <c r="J630" s="341">
        <f ca="1">กาญจนบุรี!J630+จันทบุรี!J630+ฉะเชิงเทรา!J630+ชลบุรี!J630+ชัยนาท!J630+ตราด!J630+นครนายก!J630+นครปฐม!J630+ปทุมธานี!J630+ประจวบคีรีขันธ์!J630+ปราจีนบุรี!J630+พระนครศรีอยุธยา!J630+เพชรบุรี!J630+ระยอง!J630+ราชบุรี!J630+ลพบุรี!J630+สระแก้ว!J630+สระบุรี!J630+สิงห์บุรี!J630+สุพรรณบุรี!J630+อ่างทอง!J630</f>
        <v>9008903.7699999996</v>
      </c>
      <c r="K630" s="342">
        <f t="shared" ca="1" si="77"/>
        <v>7.7384090857213597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กาญจนบุรี!I631+จันทบุรี!I631+ฉะเชิงเทรา!I631+ชลบุรี!I631+ชัยนาท!I631+ตราด!I631+นครนายก!I631+นครปฐม!I631+ปทุมธานี!I631+ประจวบคีรีขันธ์!I631+ปราจีนบุรี!I631+พระนครศรีอยุธยา!I631+เพชรบุรี!I631+ระยอง!I631+ราชบุรี!I631+ลพบุรี!I631+สระแก้ว!I631+สระบุรี!I631+สิงห์บุรี!I631+สุพรรณบุรี!I631+อ่างทอง!I631</f>
        <v>3474</v>
      </c>
      <c r="J631" s="341">
        <f ca="1">กาญจนบุรี!J631+จันทบุรี!J631+ฉะเชิงเทรา!J631+ชลบุรี!J631+ชัยนาท!J631+ตราด!J631+นครนายก!J631+นครปฐม!J631+ปทุมธานี!J631+ประจวบคีรีขันธ์!J631+ปราจีนบุรี!J631+พระนครศรีอยุธยา!J631+เพชรบุรี!J631+ระยอง!J631+ราชบุรี!J631+ลพบุรี!J631+สระแก้ว!J631+สระบุรี!J631+สิงห์บุรี!J631+สุพรรณบุรี!J631+อ่างทอง!J631</f>
        <v>1156</v>
      </c>
      <c r="K631" s="342">
        <f t="shared" ca="1" si="77"/>
        <v>33.275762809441567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กาญจนบุรี!I632+จันทบุรี!I632+ฉะเชิงเทรา!I632+ชลบุรี!I632+ชัยนาท!I632+ตราด!I632+นครนายก!I632+นครปฐม!I632+ปทุมธานี!I632+ประจวบคีรีขันธ์!I632+ปราจีนบุรี!I632+พระนครศรีอยุธยา!I632+เพชรบุรี!I632+ระยอง!I632+ราชบุรี!I632+ลพบุรี!I632+สระแก้ว!I632+สระบุรี!I632+สิงห์บุรี!I632+สุพรรณบุรี!I632+อ่างทอง!I632</f>
        <v>47757058.130000003</v>
      </c>
      <c r="J632" s="341">
        <f ca="1">กาญจนบุรี!J632+จันทบุรี!J632+ฉะเชิงเทรา!J632+ชลบุรี!J632+ชัยนาท!J632+ตราด!J632+นครนายก!J632+นครปฐม!J632+ปทุมธานี!J632+ประจวบคีรีขันธ์!J632+ปราจีนบุรี!J632+พระนครศรีอยุธยา!J632+เพชรบุรี!J632+ระยอง!J632+ราชบุรี!J632+ลพบุรี!J632+สระแก้ว!J632+สระบุรี!J632+สิงห์บุรี!J632+สุพรรณบุรี!J632+อ่างทอง!J632</f>
        <v>9313838.9800000004</v>
      </c>
      <c r="K632" s="342">
        <f t="shared" ca="1" si="77"/>
        <v>19.502539194618517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กาญจนบุรี!I633+จันทบุรี!I633+ฉะเชิงเทรา!I633+ชลบุรี!I633+ชัยนาท!I633+ตราด!I633+นครนายก!I633+นครปฐม!I633+ปทุมธานี!I633+ประจวบคีรีขันธ์!I633+ปราจีนบุรี!I633+พระนครศรีอยุธยา!I633+เพชรบุรี!I633+ระยอง!I633+ราชบุรี!I633+ลพบุรี!I633+สระแก้ว!I633+สระบุรี!I633+สิงห์บุรี!I633+สุพรรณบุรี!I633+อ่างทอง!I633</f>
        <v>11053</v>
      </c>
      <c r="J633" s="341">
        <f ca="1">กาญจนบุรี!J633+จันทบุรี!J633+ฉะเชิงเทรา!J633+ชลบุรี!J633+ชัยนาท!J633+ตราด!J633+นครนายก!J633+นครปฐม!J633+ปทุมธานี!J633+ประจวบคีรีขันธ์!J633+ปราจีนบุรี!J633+พระนครศรีอยุธยา!J633+เพชรบุรี!J633+ระยอง!J633+ราชบุรี!J633+ลพบุรี!J633+สระแก้ว!J633+สระบุรี!J633+สิงห์บุรี!J633+สุพรรณบุรี!J633+อ่างทอง!J633</f>
        <v>4518</v>
      </c>
      <c r="K633" s="342">
        <f t="shared" ca="1" si="77"/>
        <v>40.875780331131821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กาญจนบุรี!I634+จันทบุรี!I634+ฉะเชิงเทรา!I634+ชลบุรี!I634+ชัยนาท!I634+ตราด!I634+นครนายก!I634+นครปฐม!I634+ปทุมธานี!I634+ประจวบคีรีขันธ์!I634+ปราจีนบุรี!I634+พระนครศรีอยุธยา!I634+เพชรบุรี!I634+ระยอง!I634+ราชบุรี!I634+ลพบุรี!I634+สระแก้ว!I634+สระบุรี!I634+สิงห์บุรี!I634+สุพรรณบุรี!I634+อ่างทอง!I634</f>
        <v>91975000</v>
      </c>
      <c r="J634" s="341">
        <f ca="1">กาญจนบุรี!J634+จันทบุรี!J634+ฉะเชิงเทรา!J634+ชลบุรี!J634+ชัยนาท!J634+ตราด!J634+นครนายก!J634+นครปฐม!J634+ปทุมธานี!J634+ประจวบคีรีขันธ์!J634+ปราจีนบุรี!J634+พระนครศรีอยุธยา!J634+เพชรบุรี!J634+ระยอง!J634+ราชบุรี!J634+ลพบุรี!J634+สระแก้ว!J634+สระบุรี!J634+สิงห์บุรี!J634+สุพรรณบุรี!J634+อ่างทอง!J634</f>
        <v>20880000</v>
      </c>
      <c r="K634" s="342">
        <f t="shared" ca="1" si="77"/>
        <v>22.701821147050829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าญจนบุรี!I635+จันทบุรี!I635+ฉะเชิงเทรา!I635+ชลบุรี!I635+ชัยนาท!I635+ตราด!I635+นครนายก!I635+นครปฐม!I635+ปทุมธานี!I635+ประจวบคีรีขันธ์!I635+ปราจีนบุรี!I635+พระนครศรีอยุธยา!I635+เพชรบุรี!I635+ระยอง!I635+ราชบุรี!I635+ลพบุรี!I635+สระแก้ว!I635+สระบุรี!I635+สิงห์บุรี!I635+สุพรรณบุรี!I635+อ่างทอง!I635</f>
        <v>2660</v>
      </c>
      <c r="J635" s="504">
        <f ca="1">กาญจนบุรี!J635+จันทบุรี!J635+ฉะเชิงเทรา!J635+ชลบุรี!J635+ชัยนาท!J635+ตราด!J635+นครนายก!J635+นครปฐม!J635+ปทุมธานี!J635+ประจวบคีรีขันธ์!J635+ปราจีนบุรี!J635+พระนครศรีอยุธยา!J635+เพชรบุรี!J635+ระยอง!J635+ราชบุรี!J635+ลพบุรี!J635+สระแก้ว!J635+สระบุรี!J635+สิงห์บุรี!J635+สุพรรณบุรี!J635+อ่างทอง!J635</f>
        <v>623</v>
      </c>
      <c r="K635" s="486">
        <f t="shared" ca="1" si="77"/>
        <v>23.421052631578949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L4" sqref="L4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254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3292795</v>
      </c>
      <c r="M8" s="23">
        <f t="shared" ca="1" si="0"/>
        <v>2156840</v>
      </c>
      <c r="N8" s="23">
        <f t="shared" ca="1" si="0"/>
        <v>1873888.33</v>
      </c>
      <c r="O8" s="22">
        <f t="shared" ref="O8:O16" ca="1" si="1">IF(L8&gt;0,N8*100/L8,0)</f>
        <v>56.908745609732762</v>
      </c>
      <c r="P8" s="22">
        <f t="shared" ref="P8:P16" ca="1" si="2">IF(M8&gt;0,N8*100/M8,0)</f>
        <v>86.881193319856834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3292795</v>
      </c>
      <c r="M10" s="30">
        <f t="shared" ca="1" si="4"/>
        <v>2156840</v>
      </c>
      <c r="N10" s="30">
        <f t="shared" ca="1" si="4"/>
        <v>1873888.33</v>
      </c>
      <c r="O10" s="29">
        <f t="shared" ca="1" si="1"/>
        <v>56.908745609732762</v>
      </c>
      <c r="P10" s="29">
        <f t="shared" ca="1" si="2"/>
        <v>86.881193319856834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2942195</v>
      </c>
      <c r="M12" s="38">
        <f t="shared" ca="1" si="6"/>
        <v>1806240</v>
      </c>
      <c r="N12" s="38">
        <f t="shared" ca="1" si="6"/>
        <v>1523288.33</v>
      </c>
      <c r="O12" s="38">
        <f t="shared" ca="1" si="1"/>
        <v>51.773873927458922</v>
      </c>
      <c r="P12" s="38">
        <f t="shared" ca="1" si="2"/>
        <v>84.334768912215438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1897800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1044395</v>
      </c>
      <c r="M14" s="38">
        <f t="shared" si="8"/>
        <v>0</v>
      </c>
      <c r="N14" s="38">
        <f t="shared" ca="1" si="8"/>
        <v>357283.03</v>
      </c>
      <c r="O14" s="38">
        <f t="shared" ca="1" si="1"/>
        <v>34.20956917641314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350600</v>
      </c>
      <c r="M16" s="38">
        <f t="shared" ca="1" si="10"/>
        <v>350600</v>
      </c>
      <c r="N16" s="38">
        <f t="shared" ca="1" si="10"/>
        <v>350600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2726905</v>
      </c>
      <c r="M18" s="23">
        <f t="shared" ca="1" si="11"/>
        <v>2156840</v>
      </c>
      <c r="N18" s="23">
        <f t="shared" ca="1" si="11"/>
        <v>1516605.3</v>
      </c>
      <c r="O18" s="22">
        <f t="shared" ref="O18:O20" ca="1" si="12">IF(L18&gt;0,N18*100/L18,0)</f>
        <v>55.616359939198468</v>
      </c>
      <c r="P18" s="22">
        <f t="shared" ref="P18:P26" ca="1" si="13">IF(M18&gt;0,N18*100/M18,0)</f>
        <v>70.316078151369595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2726905</v>
      </c>
      <c r="M20" s="30">
        <f t="shared" ca="1" si="15"/>
        <v>2156840</v>
      </c>
      <c r="N20" s="30">
        <f t="shared" ca="1" si="15"/>
        <v>1516605.3</v>
      </c>
      <c r="O20" s="29">
        <f t="shared" ca="1" si="12"/>
        <v>55.616359939198468</v>
      </c>
      <c r="P20" s="29">
        <f t="shared" ca="1" si="13"/>
        <v>70.316078151369595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2376305</v>
      </c>
      <c r="M22" s="41">
        <f t="shared" ca="1" si="18"/>
        <v>1806240</v>
      </c>
      <c r="N22" s="38">
        <f t="shared" ca="1" si="18"/>
        <v>1166005.3</v>
      </c>
      <c r="O22" s="38">
        <f t="shared" ca="1" si="17"/>
        <v>49.067998426127957</v>
      </c>
      <c r="P22" s="38">
        <f t="shared" ca="1" si="13"/>
        <v>64.554284037558688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1897800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478505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350600</v>
      </c>
      <c r="M26" s="49">
        <f t="shared" ca="1" si="22"/>
        <v>350600</v>
      </c>
      <c r="N26" s="49">
        <f t="shared" ca="1" si="22"/>
        <v>350600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565890</v>
      </c>
      <c r="M28" s="23">
        <f t="shared" si="23"/>
        <v>0</v>
      </c>
      <c r="N28" s="23">
        <f t="shared" ca="1" si="23"/>
        <v>357283.03</v>
      </c>
      <c r="O28" s="22">
        <f t="shared" ref="O28:O30" ca="1" si="24">IF(L28&gt;0,N28*100/L28,0)</f>
        <v>63.136480588100163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565890</v>
      </c>
      <c r="M30" s="30">
        <f t="shared" si="27"/>
        <v>0</v>
      </c>
      <c r="N30" s="30">
        <f t="shared" ca="1" si="27"/>
        <v>357283.03</v>
      </c>
      <c r="O30" s="29">
        <f t="shared" ca="1" si="24"/>
        <v>63.136480588100163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ca="1">L351+L382+L403+L436+L456+L534+L552+L565+L581+L598</f>
        <v>0</v>
      </c>
      <c r="M31" s="38">
        <f>M351+M382+M403+M436+M456+M534+M552+M565+M581+M598</f>
        <v>0</v>
      </c>
      <c r="N31" s="38">
        <f ca="1">N351+N382+N403+N436+N456+N534+N552+N565+N581+N598</f>
        <v>0</v>
      </c>
      <c r="O31" s="38">
        <f t="shared" ref="O31:O37" ca="1" si="28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ca="1">L352+L383+L404+L437+L457+L535+L553+L566+L582+L599</f>
        <v>565890</v>
      </c>
      <c r="M32" s="38">
        <f>M352+M383+M404+M437+M457+M535+M553+M566+M582+M599</f>
        <v>0</v>
      </c>
      <c r="N32" s="38">
        <f ca="1">N352+N383+N404+N437+N457+N535+N553+N566+N582+N599</f>
        <v>357283.03</v>
      </c>
      <c r="O32" s="38">
        <f t="shared" ca="1" si="28"/>
        <v>63.136480588100163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ca="1">L353+L384+L405+L438+L458+L536+L554+L567+L583+L600</f>
        <v>0</v>
      </c>
      <c r="M33" s="38">
        <f>M353+M384+M405+M438+M458+M536+M554+M567+M583+M600</f>
        <v>0</v>
      </c>
      <c r="N33" s="38">
        <f ca="1">N353+N384+N405+N438+N458+N536+N554+N567+N583+N600</f>
        <v>0</v>
      </c>
      <c r="O33" s="38">
        <f t="shared" ca="1" si="28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ca="1">L354+L385+L406+L439+L459+L537+L555+L568+L584+L601</f>
        <v>565890</v>
      </c>
      <c r="M34" s="38">
        <f>M354+M385+M406+M439+M459+M537+M555+M568+M584+M601</f>
        <v>0</v>
      </c>
      <c r="N34" s="38">
        <f ca="1">N354+N385+N406+N439+N459+N537+N555+N568+N584+N601</f>
        <v>357283.03</v>
      </c>
      <c r="O34" s="38">
        <f t="shared" ca="1" si="28"/>
        <v>63.136480588100163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8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8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29">L41+L53+L66+L94+L118+L140+L220+L250+L271+L290+L310+L329</f>
        <v>2726905</v>
      </c>
      <c r="M37" s="54">
        <f t="shared" ca="1" si="29"/>
        <v>2156840</v>
      </c>
      <c r="N37" s="54">
        <f t="shared" ca="1" si="29"/>
        <v>1516605.3</v>
      </c>
      <c r="O37" s="55">
        <f t="shared" ca="1" si="28"/>
        <v>55.616359939198468</v>
      </c>
      <c r="P37" s="55">
        <f t="shared" ca="1" si="25"/>
        <v>70.316078151369595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0">L42+L43</f>
        <v>1011300</v>
      </c>
      <c r="M41" s="78">
        <f t="shared" ca="1" si="30"/>
        <v>846200</v>
      </c>
      <c r="N41" s="78">
        <f t="shared" ca="1" si="30"/>
        <v>749934.26</v>
      </c>
      <c r="O41" s="77">
        <f t="shared" ref="O41:O43" ca="1" si="31">IF(L41&gt;0,N41*100/L41,0)</f>
        <v>74.155469198061894</v>
      </c>
      <c r="P41" s="77">
        <f t="shared" ref="P41:P43" ca="1" si="32">IF(M41&gt;0,N41*100/M41,0)</f>
        <v>88.623760340345072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3">L44+L48</f>
        <v>0</v>
      </c>
      <c r="M42" s="78">
        <f t="shared" si="33"/>
        <v>0</v>
      </c>
      <c r="N42" s="78">
        <f t="shared" si="33"/>
        <v>0</v>
      </c>
      <c r="O42" s="77">
        <f t="shared" si="31"/>
        <v>0</v>
      </c>
      <c r="P42" s="77">
        <f t="shared" si="32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4">L45+L49</f>
        <v>1011300</v>
      </c>
      <c r="M43" s="78">
        <f t="shared" ca="1" si="34"/>
        <v>846200</v>
      </c>
      <c r="N43" s="78">
        <f t="shared" ca="1" si="34"/>
        <v>749934.26</v>
      </c>
      <c r="O43" s="77">
        <f t="shared" ca="1" si="31"/>
        <v>74.155469198061894</v>
      </c>
      <c r="P43" s="77">
        <f t="shared" ca="1" si="32"/>
        <v>88.623760340345072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660700</v>
      </c>
      <c r="M45" s="49">
        <f ca="1">IFERROR(__xludf.DUMMYFUNCTION("IMPORTRANGE(""https://docs.google.com/spreadsheets/d/1Yj_ptqi66GCucihVvJfMjLAmec39IyEx_6qawtMGysU/edit?usp=sharing"",""สบก!Q67"")"),495600)</f>
        <v>495600</v>
      </c>
      <c r="N45" s="49">
        <f ca="1">IFERROR(__xludf.DUMMYFUNCTION("IMPORTRANGE(""https://docs.google.com/spreadsheets/d/1Yj_ptqi66GCucihVvJfMjLAmec39IyEx_6qawtMGysU/edit?usp=sharing"",""สบก!R67"")"),399334.26)</f>
        <v>399334.26</v>
      </c>
      <c r="O45" s="38">
        <f ca="1">IF(L45&gt;0,N45*100/L45,0)</f>
        <v>60.441086726199487</v>
      </c>
      <c r="P45" s="38">
        <f ca="1">IF(M45&gt;0,N45*100/M45,0)</f>
        <v>80.5759200968523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IFERROR(__xludf.DUMMYFUNCTION("IMPORTRANGE(""https://docs.google.com/spreadsheets/d/1Yj_ptqi66GCucihVvJfMjLAmec39IyEx_6qawtMGysU/edit?usp=sharing"",""สบก!M67"")"),660700)</f>
        <v>660700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IFERROR(__xludf.DUMMYFUNCTION("IMPORTRANGE(""https://docs.google.com/spreadsheets/d/1Yj_ptqi66GCucihVvJfMjLAmec39IyEx_6qawtMGysU/edit?usp=sharing"",""สบก!N67"")"),0)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IFERROR(__xludf.DUMMYFUNCTION("IMPORTRANGE(""https://docs.google.com/spreadsheets/d/1Yj_ptqi66GCucihVvJfMjLAmec39IyEx_6qawtMGysU/edit?usp=sharing"",""สบก!O67"")"),350600)</f>
        <v>350600</v>
      </c>
      <c r="M49" s="49">
        <f ca="1">L49</f>
        <v>350600</v>
      </c>
      <c r="N49" s="49">
        <f ca="1">IFERROR(__xludf.DUMMYFUNCTION("IMPORTRANGE(""https://docs.google.com/spreadsheets/d/1Yj_ptqi66GCucihVvJfMjLAmec39IyEx_6qawtMGysU/edit?usp=sharing"",""สบก!S67"")"),350600)</f>
        <v>350600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5">L54+L55</f>
        <v>400000</v>
      </c>
      <c r="M53" s="121">
        <f t="shared" ca="1" si="35"/>
        <v>320250</v>
      </c>
      <c r="N53" s="121">
        <f t="shared" ca="1" si="35"/>
        <v>242889.94</v>
      </c>
      <c r="O53" s="120">
        <f t="shared" ref="O53:O55" ca="1" si="36">IF(L53&gt;0,N53*100/L53,0)</f>
        <v>60.722484999999999</v>
      </c>
      <c r="P53" s="120">
        <f t="shared" ref="P53:P55" ca="1" si="37">IF(M53&gt;0,N53*100/M53,0)</f>
        <v>75.843853239656525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38">L56+L60</f>
        <v>0</v>
      </c>
      <c r="M54" s="121">
        <f t="shared" si="38"/>
        <v>0</v>
      </c>
      <c r="N54" s="121">
        <f t="shared" si="38"/>
        <v>0</v>
      </c>
      <c r="O54" s="120">
        <f t="shared" si="36"/>
        <v>0</v>
      </c>
      <c r="P54" s="120">
        <f t="shared" si="37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39">L57+L61</f>
        <v>400000</v>
      </c>
      <c r="M55" s="121">
        <f t="shared" ca="1" si="39"/>
        <v>320250</v>
      </c>
      <c r="N55" s="121">
        <f t="shared" ca="1" si="39"/>
        <v>242889.94</v>
      </c>
      <c r="O55" s="120">
        <f t="shared" ca="1" si="36"/>
        <v>60.722484999999999</v>
      </c>
      <c r="P55" s="120">
        <f t="shared" ca="1" si="37"/>
        <v>75.843853239656525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IFERROR(__xludf.DUMMYFUNCTION("IMPORTRANGE(""https://docs.google.com/spreadsheets/d/1Yj_ptqi66GCucihVvJfMjLAmec39IyEx_6qawtMGysU/edit?usp=sharing"",""สบก!Z67"")"),320250)</f>
        <v>320250</v>
      </c>
      <c r="N57" s="49">
        <f ca="1">IFERROR(__xludf.DUMMYFUNCTION("IMPORTRANGE(""https://docs.google.com/spreadsheets/d/1Yj_ptqi66GCucihVvJfMjLAmec39IyEx_6qawtMGysU/edit?usp=sharing"",""สบก!AA67"")"),242889.94)</f>
        <v>242889.94</v>
      </c>
      <c r="O57" s="38">
        <f ca="1">IF(L57&gt;0,N57*100/L57,0)</f>
        <v>60.722484999999999</v>
      </c>
      <c r="P57" s="38">
        <f ca="1">IF(M57&gt;0,N57*100/M57,0)</f>
        <v>75.843853239656525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IFERROR(__xludf.DUMMYFUNCTION("IMPORTRANGE(""https://docs.google.com/spreadsheets/d/1Yj_ptqi66GCucihVvJfMjLAmec39IyEx_6qawtMGysU/edit?usp=sharing"",""สบก!V67"")"),400000)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IFERROR(__xludf.DUMMYFUNCTION("IMPORTRANGE(""https://docs.google.com/spreadsheets/d/1Yj_ptqi66GCucihVvJfMjLAmec39IyEx_6qawtMGysU/edit?usp=sharing"",""สบก!W67"")"),0)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IFERROR(__xludf.DUMMYFUNCTION("IMPORTRANGE(""https://docs.google.com/spreadsheets/d/1Yj_ptqi66GCucihVvJfMjLAmec39IyEx_6qawtMGysU/edit?usp=sharing"",""สบก!X67"")"),0)</f>
        <v>0</v>
      </c>
      <c r="M61" s="49"/>
      <c r="N61" s="49">
        <f ca="1">IFERROR(__xludf.DUMMYFUNCTION("IMPORTRANGE(""https://docs.google.com/spreadsheets/d/1Yj_ptqi66GCucihVvJfMjLAmec39IyEx_6qawtMGysU/edit?usp=sharing"",""สบก!AB67"")"),0)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IFERROR(__xludf.DUMMYFUNCTION("IMPORTRANGE(""https://docs.google.com/spreadsheets/d/1SX6NBoVAgQJ6U1MVXOaj8PK2l7WJ3RER9xtqwdhxkhw/edit?usp=sharing"",""ปทุมธานี!I9"")"),0)</f>
        <v>0</v>
      </c>
      <c r="J64" s="142">
        <f ca="1">IFERROR(__xludf.DUMMYFUNCTION("IMPORTRANGE(""https://docs.google.com/spreadsheets/d/1SX6NBoVAgQJ6U1MVXOaj8PK2l7WJ3RER9xtqwdhxkhw/edit?usp=sharing"",""ปทุมธานี!J9"")"),0)</f>
        <v>0</v>
      </c>
      <c r="K64" s="143">
        <f t="shared" ref="K64:K65" ca="1" si="40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IFERROR(__xludf.DUMMYFUNCTION("IMPORTRANGE(""https://docs.google.com/spreadsheets/d/1SX6NBoVAgQJ6U1MVXOaj8PK2l7WJ3RER9xtqwdhxkhw/edit?usp=sharing"",""ปทุมธานี!I10"")"),0)</f>
        <v>0</v>
      </c>
      <c r="J65" s="142">
        <f ca="1">IFERROR(__xludf.DUMMYFUNCTION("IMPORTRANGE(""https://docs.google.com/spreadsheets/d/1SX6NBoVAgQJ6U1MVXOaj8PK2l7WJ3RER9xtqwdhxkhw/edit?usp=sharing"",""ปทุมธานี!J10"")"),0)</f>
        <v>0</v>
      </c>
      <c r="K65" s="143">
        <f t="shared" ca="1" si="40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1">L67+L68</f>
        <v>0</v>
      </c>
      <c r="M66" s="152">
        <f t="shared" ca="1" si="41"/>
        <v>0</v>
      </c>
      <c r="N66" s="152">
        <f t="shared" ca="1" si="41"/>
        <v>0</v>
      </c>
      <c r="O66" s="151">
        <f t="shared" ref="O66:O68" ca="1" si="42">IF(L66&gt;0,N66*100/L66,0)</f>
        <v>0</v>
      </c>
      <c r="P66" s="151">
        <f t="shared" ref="P66:P68" ca="1" si="43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4">L69+L73</f>
        <v>0</v>
      </c>
      <c r="M67" s="157">
        <f t="shared" si="44"/>
        <v>0</v>
      </c>
      <c r="N67" s="157">
        <f t="shared" si="44"/>
        <v>0</v>
      </c>
      <c r="O67" s="156">
        <f t="shared" si="42"/>
        <v>0</v>
      </c>
      <c r="P67" s="156">
        <f t="shared" si="43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5">L70+L74</f>
        <v>0</v>
      </c>
      <c r="M68" s="157">
        <f t="shared" ca="1" si="45"/>
        <v>0</v>
      </c>
      <c r="N68" s="157">
        <f t="shared" ca="1" si="45"/>
        <v>0</v>
      </c>
      <c r="O68" s="156">
        <f t="shared" ca="1" si="42"/>
        <v>0</v>
      </c>
      <c r="P68" s="156">
        <f t="shared" ca="1" si="43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IFERROR(__xludf.DUMMYFUNCTION("IMPORTRANGE(""https://docs.google.com/spreadsheets/d/1Yj_ptqi66GCucihVvJfMjLAmec39IyEx_6qawtMGysU/edit?usp=sharing"",""สบก!AI67"")"),0)</f>
        <v>0</v>
      </c>
      <c r="N70" s="169">
        <f ca="1">IFERROR(__xludf.DUMMYFUNCTION("IMPORTRANGE(""https://docs.google.com/spreadsheets/d/1Yj_ptqi66GCucihVvJfMjLAmec39IyEx_6qawtMGysU/edit?usp=sharing"",""สบก!AJ67"")"),0)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IFERROR(__xludf.DUMMYFUNCTION("IMPORTRANGE(""https://docs.google.com/spreadsheets/d/1Yj_ptqi66GCucihVvJfMjLAmec39IyEx_6qawtMGysU/edit?usp=sharing"",""สบก!AE67"")"),0)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IFERROR(__xludf.DUMMYFUNCTION("IMPORTRANGE(""https://docs.google.com/spreadsheets/d/1Yj_ptqi66GCucihVvJfMjLAmec39IyEx_6qawtMGysU/edit?usp=sharing"",""สบก!AF67"")"),0)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IFERROR(__xludf.DUMMYFUNCTION("IMPORTRANGE(""https://docs.google.com/spreadsheets/d/1Yj_ptqi66GCucihVvJfMjLAmec39IyEx_6qawtMGysU/edit?usp=sharing"",""สบก!AG67"")"),0)</f>
        <v>0</v>
      </c>
      <c r="M74" s="49"/>
      <c r="N74" s="49">
        <f ca="1">IFERROR(__xludf.DUMMYFUNCTION("IMPORTRANGE(""https://docs.google.com/spreadsheets/d/1Yj_ptqi66GCucihVvJfMjLAmec39IyEx_6qawtMGysU/edit?usp=sharing"",""สบก!AK67"")"),0)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IFERROR(__xludf.DUMMYFUNCTION("IMPORTRANGE(""https://docs.google.com/spreadsheets/d/1SX6NBoVAgQJ6U1MVXOaj8PK2l7WJ3RER9xtqwdhxkhw/edit?usp=sharing"",""ปทุมธานี!J16"")"),0)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IFERROR(__xludf.DUMMYFUNCTION("IMPORTRANGE(""https://docs.google.com/spreadsheets/d/1SX6NBoVAgQJ6U1MVXOaj8PK2l7WJ3RER9xtqwdhxkhw/edit?usp=sharing"",""ปทุมธานี!J17"")"),0)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IFERROR(__xludf.DUMMYFUNCTION("IMPORTRANGE(""https://docs.google.com/spreadsheets/d/1SX6NBoVAgQJ6U1MVXOaj8PK2l7WJ3RER9xtqwdhxkhw/edit?usp=sharing"",""ปทุมธานี!J18"")"),0)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IFERROR(__xludf.DUMMYFUNCTION("IMPORTRANGE(""https://docs.google.com/spreadsheets/d/1SX6NBoVAgQJ6U1MVXOaj8PK2l7WJ3RER9xtqwdhxkhw/edit?usp=sharing"",""ปทุมธานี!J19"")"),0)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IFERROR(__xludf.DUMMYFUNCTION("IMPORTRANGE(""https://docs.google.com/spreadsheets/d/1SX6NBoVAgQJ6U1MVXOaj8PK2l7WJ3RER9xtqwdhxkhw/edit?usp=sharing"",""ปทุมธานี!I20"")"),0)</f>
        <v>0</v>
      </c>
      <c r="J80" s="201">
        <f ca="1">IFERROR(__xludf.DUMMYFUNCTION("IMPORTRANGE(""https://docs.google.com/spreadsheets/d/1SX6NBoVAgQJ6U1MVXOaj8PK2l7WJ3RER9xtqwdhxkhw/edit?usp=sharing"",""ปทุมธานี!J20"")"),0)</f>
        <v>0</v>
      </c>
      <c r="K80" s="202">
        <f t="shared" ref="K80:K88" ca="1" si="46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IFERROR(__xludf.DUMMYFUNCTION("IMPORTRANGE(""https://docs.google.com/spreadsheets/d/1SX6NBoVAgQJ6U1MVXOaj8PK2l7WJ3RER9xtqwdhxkhw/edit?usp=sharing"",""ปทุมธานี!I21"")"),0)</f>
        <v>0</v>
      </c>
      <c r="J81" s="201">
        <f ca="1">IFERROR(__xludf.DUMMYFUNCTION("IMPORTRANGE(""https://docs.google.com/spreadsheets/d/1SX6NBoVAgQJ6U1MVXOaj8PK2l7WJ3RER9xtqwdhxkhw/edit?usp=sharing"",""ปทุมธานี!J21"")"),0)</f>
        <v>0</v>
      </c>
      <c r="K81" s="202">
        <f t="shared" ca="1" si="46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IFERROR(__xludf.DUMMYFUNCTION("IMPORTRANGE(""https://docs.google.com/spreadsheets/d/1SX6NBoVAgQJ6U1MVXOaj8PK2l7WJ3RER9xtqwdhxkhw/edit?usp=sharing"",""ปทุมธานี!I22"")"),0)</f>
        <v>0</v>
      </c>
      <c r="J82" s="204">
        <f ca="1">IFERROR(__xludf.DUMMYFUNCTION("IMPORTRANGE(""https://docs.google.com/spreadsheets/d/1SX6NBoVAgQJ6U1MVXOaj8PK2l7WJ3RER9xtqwdhxkhw/edit?usp=sharing"",""ปทุมธานี!J22"")"),0)</f>
        <v>0</v>
      </c>
      <c r="K82" s="163">
        <f t="shared" ca="1" si="46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IFERROR(__xludf.DUMMYFUNCTION("IMPORTRANGE(""https://docs.google.com/spreadsheets/d/1SX6NBoVAgQJ6U1MVXOaj8PK2l7WJ3RER9xtqwdhxkhw/edit?usp=sharing"",""ปทุมธานี!I23"")"),0)</f>
        <v>0</v>
      </c>
      <c r="J83" s="204">
        <f ca="1">IFERROR(__xludf.DUMMYFUNCTION("IMPORTRANGE(""https://docs.google.com/spreadsheets/d/1SX6NBoVAgQJ6U1MVXOaj8PK2l7WJ3RER9xtqwdhxkhw/edit?usp=sharing"",""ปทุมธานี!J23"")"),0)</f>
        <v>0</v>
      </c>
      <c r="K83" s="163">
        <f t="shared" ca="1" si="46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IFERROR(__xludf.DUMMYFUNCTION("IMPORTRANGE(""https://docs.google.com/spreadsheets/d/1SX6NBoVAgQJ6U1MVXOaj8PK2l7WJ3RER9xtqwdhxkhw/edit?usp=sharing"",""ปทุมธานี!I24"")"),0)</f>
        <v>0</v>
      </c>
      <c r="J84" s="189">
        <f ca="1">IFERROR(__xludf.DUMMYFUNCTION("IMPORTRANGE(""https://docs.google.com/spreadsheets/d/1SX6NBoVAgQJ6U1MVXOaj8PK2l7WJ3RER9xtqwdhxkhw/edit?usp=sharing"",""ปทุมธานี!J24"")"),0)</f>
        <v>0</v>
      </c>
      <c r="K84" s="163">
        <f t="shared" ca="1" si="46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IFERROR(__xludf.DUMMYFUNCTION("IMPORTRANGE(""https://docs.google.com/spreadsheets/d/1SX6NBoVAgQJ6U1MVXOaj8PK2l7WJ3RER9xtqwdhxkhw/edit?usp=sharing"",""ปทุมธานี!I25"")"),0)</f>
        <v>0</v>
      </c>
      <c r="J85" s="189">
        <f ca="1">IFERROR(__xludf.DUMMYFUNCTION("IMPORTRANGE(""https://docs.google.com/spreadsheets/d/1SX6NBoVAgQJ6U1MVXOaj8PK2l7WJ3RER9xtqwdhxkhw/edit?usp=sharing"",""ปทุมธานี!J25"")"),0)</f>
        <v>0</v>
      </c>
      <c r="K85" s="163">
        <f t="shared" ca="1" si="46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IFERROR(__xludf.DUMMYFUNCTION("IMPORTRANGE(""https://docs.google.com/spreadsheets/d/1SX6NBoVAgQJ6U1MVXOaj8PK2l7WJ3RER9xtqwdhxkhw/edit?usp=sharing"",""ปทุมธานี!I26"")"),0)</f>
        <v>0</v>
      </c>
      <c r="J86" s="204">
        <f ca="1">IFERROR(__xludf.DUMMYFUNCTION("IMPORTRANGE(""https://docs.google.com/spreadsheets/d/1SX6NBoVAgQJ6U1MVXOaj8PK2l7WJ3RER9xtqwdhxkhw/edit?usp=sharing"",""ปทุมธานี!J26"")"),0)</f>
        <v>0</v>
      </c>
      <c r="K86" s="163">
        <f t="shared" ca="1" si="46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IFERROR(__xludf.DUMMYFUNCTION("IMPORTRANGE(""https://docs.google.com/spreadsheets/d/1SX6NBoVAgQJ6U1MVXOaj8PK2l7WJ3RER9xtqwdhxkhw/edit?usp=sharing"",""ปทุมธานี!I27"")"),0)</f>
        <v>0</v>
      </c>
      <c r="J87" s="204">
        <f ca="1">IFERROR(__xludf.DUMMYFUNCTION("IMPORTRANGE(""https://docs.google.com/spreadsheets/d/1SX6NBoVAgQJ6U1MVXOaj8PK2l7WJ3RER9xtqwdhxkhw/edit?usp=sharing"",""ปทุมธานี!J27"")"),0)</f>
        <v>0</v>
      </c>
      <c r="K87" s="163">
        <f t="shared" ca="1" si="46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IFERROR(__xludf.DUMMYFUNCTION("IMPORTRANGE(""https://docs.google.com/spreadsheets/d/1SX6NBoVAgQJ6U1MVXOaj8PK2l7WJ3RER9xtqwdhxkhw/edit?usp=sharing"",""ปทุมธานี!I28"")"),0)</f>
        <v>0</v>
      </c>
      <c r="J88" s="204">
        <f ca="1">IFERROR(__xludf.DUMMYFUNCTION("IMPORTRANGE(""https://docs.google.com/spreadsheets/d/1SX6NBoVAgQJ6U1MVXOaj8PK2l7WJ3RER9xtqwdhxkhw/edit?usp=sharing"",""ปทุมธานี!J28"")"),0)</f>
        <v>0</v>
      </c>
      <c r="K88" s="163">
        <f t="shared" ca="1" si="46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IFERROR(__xludf.DUMMYFUNCTION("IMPORTRANGE(""https://docs.google.com/spreadsheets/d/1SX6NBoVAgQJ6U1MVXOaj8PK2l7WJ3RER9xtqwdhxkhw/edit?usp=sharing"",""ปทุมธานี!J29"")"),0)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IFERROR(__xludf.DUMMYFUNCTION("IMPORTRANGE(""https://docs.google.com/spreadsheets/d/1SX6NBoVAgQJ6U1MVXOaj8PK2l7WJ3RER9xtqwdhxkhw/edit?usp=sharing"",""ปทุมธานี!J30"")"),0)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IFERROR(__xludf.DUMMYFUNCTION("IMPORTRANGE(""https://docs.google.com/spreadsheets/d/1SX6NBoVAgQJ6U1MVXOaj8PK2l7WJ3RER9xtqwdhxkhw/edit?usp=sharing"",""ปทุมธานี!I32"")"),0)</f>
        <v>0</v>
      </c>
      <c r="J92" s="142">
        <f ca="1">IFERROR(__xludf.DUMMYFUNCTION("IMPORTRANGE(""https://docs.google.com/spreadsheets/d/1SX6NBoVAgQJ6U1MVXOaj8PK2l7WJ3RER9xtqwdhxkhw/edit?usp=sharing"",""ปทุมธานี!J32"")"),0)</f>
        <v>0</v>
      </c>
      <c r="K92" s="143">
        <f t="shared" ref="K92:K93" ca="1" si="47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IFERROR(__xludf.DUMMYFUNCTION("IMPORTRANGE(""https://docs.google.com/spreadsheets/d/1SX6NBoVAgQJ6U1MVXOaj8PK2l7WJ3RER9xtqwdhxkhw/edit?usp=sharing"",""ปทุมธานี!I33"")"),0)</f>
        <v>0</v>
      </c>
      <c r="J93" s="142">
        <f ca="1">IFERROR(__xludf.DUMMYFUNCTION("IMPORTRANGE(""https://docs.google.com/spreadsheets/d/1SX6NBoVAgQJ6U1MVXOaj8PK2l7WJ3RER9xtqwdhxkhw/edit?usp=sharing"",""ปทุมธานี!J33"")"),0)</f>
        <v>0</v>
      </c>
      <c r="K93" s="143">
        <f t="shared" ca="1" si="47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48">L95+L96</f>
        <v>0</v>
      </c>
      <c r="M94" s="152">
        <f t="shared" ca="1" si="48"/>
        <v>0</v>
      </c>
      <c r="N94" s="152">
        <f t="shared" ca="1" si="48"/>
        <v>0</v>
      </c>
      <c r="O94" s="151">
        <f t="shared" ref="O94:O96" ca="1" si="49">IF(L94&gt;0,N94*100/L94,0)</f>
        <v>0</v>
      </c>
      <c r="P94" s="151">
        <f t="shared" ref="P94:P96" ca="1" si="50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1">L97+L101</f>
        <v>0</v>
      </c>
      <c r="M95" s="157">
        <f t="shared" si="51"/>
        <v>0</v>
      </c>
      <c r="N95" s="157">
        <f t="shared" si="51"/>
        <v>0</v>
      </c>
      <c r="O95" s="156">
        <f t="shared" si="49"/>
        <v>0</v>
      </c>
      <c r="P95" s="156">
        <f t="shared" si="50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2">L98+L102</f>
        <v>0</v>
      </c>
      <c r="M96" s="157">
        <f t="shared" ca="1" si="52"/>
        <v>0</v>
      </c>
      <c r="N96" s="157">
        <f t="shared" ca="1" si="52"/>
        <v>0</v>
      </c>
      <c r="O96" s="156">
        <f t="shared" ca="1" si="49"/>
        <v>0</v>
      </c>
      <c r="P96" s="156">
        <f t="shared" ca="1" si="50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IFERROR(__xludf.DUMMYFUNCTION("IMPORTRANGE(""https://docs.google.com/spreadsheets/d/1Yj_ptqi66GCucihVvJfMjLAmec39IyEx_6qawtMGysU/edit?usp=sharing"",""สบก!AR67"")"),0)</f>
        <v>0</v>
      </c>
      <c r="N98" s="169">
        <f ca="1">IFERROR(__xludf.DUMMYFUNCTION("IMPORTRANGE(""https://docs.google.com/spreadsheets/d/1Yj_ptqi66GCucihVvJfMjLAmec39IyEx_6qawtMGysU/edit?usp=sharing"",""สบก!AS67"")"),0)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IFERROR(__xludf.DUMMYFUNCTION("IMPORTRANGE(""https://docs.google.com/spreadsheets/d/1Yj_ptqi66GCucihVvJfMjLAmec39IyEx_6qawtMGysU/edit?usp=sharing"",""สบก!AN67"")"),0)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IFERROR(__xludf.DUMMYFUNCTION("IMPORTRANGE(""https://docs.google.com/spreadsheets/d/1Yj_ptqi66GCucihVvJfMjLAmec39IyEx_6qawtMGysU/edit?usp=sharing"",""สบก!AO67"")"),0)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IFERROR(__xludf.DUMMYFUNCTION("IMPORTRANGE(""https://docs.google.com/spreadsheets/d/1Yj_ptqi66GCucihVvJfMjLAmec39IyEx_6qawtMGysU/edit?usp=sharing"",""สบก!AP67"")"),0)</f>
        <v>0</v>
      </c>
      <c r="M102" s="49"/>
      <c r="N102" s="49">
        <f ca="1">IFERROR(__xludf.DUMMYFUNCTION("IMPORTRANGE(""https://docs.google.com/spreadsheets/d/1Yj_ptqi66GCucihVvJfMjLAmec39IyEx_6qawtMGysU/edit?usp=sharing"",""สบก!AT67"")"),0)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IFERROR(__xludf.DUMMYFUNCTION("IMPORTRANGE(""https://docs.google.com/spreadsheets/d/1SX6NBoVAgQJ6U1MVXOaj8PK2l7WJ3RER9xtqwdhxkhw/edit?usp=sharing"",""ปทุมธานี!J39"")"),0)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IFERROR(__xludf.DUMMYFUNCTION("IMPORTRANGE(""https://docs.google.com/spreadsheets/d/1SX6NBoVAgQJ6U1MVXOaj8PK2l7WJ3RER9xtqwdhxkhw/edit?usp=sharing"",""ปทุมธานี!J40"")"),0)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IFERROR(__xludf.DUMMYFUNCTION("IMPORTRANGE(""https://docs.google.com/spreadsheets/d/1SX6NBoVAgQJ6U1MVXOaj8PK2l7WJ3RER9xtqwdhxkhw/edit?usp=sharing"",""ปทุมธานี!J41"")"),0)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IFERROR(__xludf.DUMMYFUNCTION("IMPORTRANGE(""https://docs.google.com/spreadsheets/d/1SX6NBoVAgQJ6U1MVXOaj8PK2l7WJ3RER9xtqwdhxkhw/edit?usp=sharing"",""ปทุมธานี!J42"")"),0)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IFERROR(__xludf.DUMMYFUNCTION("IMPORTRANGE(""https://docs.google.com/spreadsheets/d/1SX6NBoVAgQJ6U1MVXOaj8PK2l7WJ3RER9xtqwdhxkhw/edit?usp=sharing"",""ปทุมธานี!I43"")"),0)</f>
        <v>0</v>
      </c>
      <c r="J108" s="204">
        <f ca="1">IFERROR(__xludf.DUMMYFUNCTION("IMPORTRANGE(""https://docs.google.com/spreadsheets/d/1SX6NBoVAgQJ6U1MVXOaj8PK2l7WJ3RER9xtqwdhxkhw/edit?usp=sharing"",""ปทุมธานี!J43"")"),0)</f>
        <v>0</v>
      </c>
      <c r="K108" s="224">
        <f t="shared" ref="K108:K113" ca="1" si="53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IFERROR(__xludf.DUMMYFUNCTION("IMPORTRANGE(""https://docs.google.com/spreadsheets/d/1SX6NBoVAgQJ6U1MVXOaj8PK2l7WJ3RER9xtqwdhxkhw/edit?usp=sharing"",""ปทุมธานี!I44"")"),0)</f>
        <v>0</v>
      </c>
      <c r="J109" s="204">
        <f ca="1">IFERROR(__xludf.DUMMYFUNCTION("IMPORTRANGE(""https://docs.google.com/spreadsheets/d/1SX6NBoVAgQJ6U1MVXOaj8PK2l7WJ3RER9xtqwdhxkhw/edit?usp=sharing"",""ปทุมธานี!J44"")"),0)</f>
        <v>0</v>
      </c>
      <c r="K109" s="224">
        <f t="shared" ca="1" si="53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IFERROR(__xludf.DUMMYFUNCTION("IMPORTRANGE(""https://docs.google.com/spreadsheets/d/1SX6NBoVAgQJ6U1MVXOaj8PK2l7WJ3RER9xtqwdhxkhw/edit?usp=sharing"",""ปทุมธานี!I45"")"),0)</f>
        <v>0</v>
      </c>
      <c r="J110" s="204">
        <f ca="1">IFERROR(__xludf.DUMMYFUNCTION("IMPORTRANGE(""https://docs.google.com/spreadsheets/d/1SX6NBoVAgQJ6U1MVXOaj8PK2l7WJ3RER9xtqwdhxkhw/edit?usp=sharing"",""ปทุมธานี!J45"")"),0)</f>
        <v>0</v>
      </c>
      <c r="K110" s="224">
        <f t="shared" ca="1" si="53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IFERROR(__xludf.DUMMYFUNCTION("IMPORTRANGE(""https://docs.google.com/spreadsheets/d/1SX6NBoVAgQJ6U1MVXOaj8PK2l7WJ3RER9xtqwdhxkhw/edit?usp=sharing"",""ปทุมธานี!I46"")"),0)</f>
        <v>0</v>
      </c>
      <c r="J111" s="204">
        <f ca="1">IFERROR(__xludf.DUMMYFUNCTION("IMPORTRANGE(""https://docs.google.com/spreadsheets/d/1SX6NBoVAgQJ6U1MVXOaj8PK2l7WJ3RER9xtqwdhxkhw/edit?usp=sharing"",""ปทุมธานี!J46"")"),0)</f>
        <v>0</v>
      </c>
      <c r="K111" s="224">
        <f t="shared" ca="1" si="53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IFERROR(__xludf.DUMMYFUNCTION("IMPORTRANGE(""https://docs.google.com/spreadsheets/d/1SX6NBoVAgQJ6U1MVXOaj8PK2l7WJ3RER9xtqwdhxkhw/edit?usp=sharing"",""ปทุมธานี!I47"")"),0)</f>
        <v>0</v>
      </c>
      <c r="J112" s="204">
        <f ca="1">IFERROR(__xludf.DUMMYFUNCTION("IMPORTRANGE(""https://docs.google.com/spreadsheets/d/1SX6NBoVAgQJ6U1MVXOaj8PK2l7WJ3RER9xtqwdhxkhw/edit?usp=sharing"",""ปทุมธานี!J47"")"),0)</f>
        <v>0</v>
      </c>
      <c r="K112" s="224">
        <f t="shared" ca="1" si="53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IFERROR(__xludf.DUMMYFUNCTION("IMPORTRANGE(""https://docs.google.com/spreadsheets/d/1SX6NBoVAgQJ6U1MVXOaj8PK2l7WJ3RER9xtqwdhxkhw/edit?usp=sharing"",""ปทุมธานี!I48"")"),0)</f>
        <v>0</v>
      </c>
      <c r="J113" s="204">
        <f ca="1">IFERROR(__xludf.DUMMYFUNCTION("IMPORTRANGE(""https://docs.google.com/spreadsheets/d/1SX6NBoVAgQJ6U1MVXOaj8PK2l7WJ3RER9xtqwdhxkhw/edit?usp=sharing"",""ปทุมธานี!J48"")"),0)</f>
        <v>0</v>
      </c>
      <c r="K113" s="224">
        <f t="shared" ca="1" si="53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IFERROR(__xludf.DUMMYFUNCTION("IMPORTRANGE(""https://docs.google.com/spreadsheets/d/1SX6NBoVAgQJ6U1MVXOaj8PK2l7WJ3RER9xtqwdhxkhw/edit?usp=sharing"",""ปทุมธานี!J49"")"),0)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IFERROR(__xludf.DUMMYFUNCTION("IMPORTRANGE(""https://docs.google.com/spreadsheets/d/1SX6NBoVAgQJ6U1MVXOaj8PK2l7WJ3RER9xtqwdhxkhw/edit?usp=sharing"",""ปทุมธานี!J50"")"),0)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IFERROR(__xludf.DUMMYFUNCTION("IMPORTRANGE(""https://docs.google.com/spreadsheets/d/1SX6NBoVAgQJ6U1MVXOaj8PK2l7WJ3RER9xtqwdhxkhw/edit?usp=sharing"",""ปทุมธานี!I52"")"),0)</f>
        <v>0</v>
      </c>
      <c r="J117" s="142">
        <f ca="1">IFERROR(__xludf.DUMMYFUNCTION("IMPORTRANGE(""https://docs.google.com/spreadsheets/d/1SX6NBoVAgQJ6U1MVXOaj8PK2l7WJ3RER9xtqwdhxkhw/edit?usp=sharing"",""ปทุมธานี!J52"")"),0)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4">L119+L120</f>
        <v>0</v>
      </c>
      <c r="M118" s="152">
        <f t="shared" ca="1" si="54"/>
        <v>0</v>
      </c>
      <c r="N118" s="152">
        <f t="shared" ca="1" si="54"/>
        <v>0</v>
      </c>
      <c r="O118" s="151">
        <f t="shared" ref="O118:O120" ca="1" si="55">IF(L118&gt;0,N118*100/L118,0)</f>
        <v>0</v>
      </c>
      <c r="P118" s="151">
        <f t="shared" ref="P118:P120" ca="1" si="56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57">L121+L125</f>
        <v>0</v>
      </c>
      <c r="M119" s="157">
        <f t="shared" si="57"/>
        <v>0</v>
      </c>
      <c r="N119" s="157">
        <f t="shared" si="57"/>
        <v>0</v>
      </c>
      <c r="O119" s="156">
        <f t="shared" si="55"/>
        <v>0</v>
      </c>
      <c r="P119" s="156">
        <f t="shared" si="56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58">L122+L126</f>
        <v>0</v>
      </c>
      <c r="M120" s="157">
        <f t="shared" ca="1" si="58"/>
        <v>0</v>
      </c>
      <c r="N120" s="157">
        <f t="shared" ca="1" si="58"/>
        <v>0</v>
      </c>
      <c r="O120" s="156">
        <f t="shared" ca="1" si="55"/>
        <v>0</v>
      </c>
      <c r="P120" s="156">
        <f t="shared" ca="1" si="56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IFERROR(__xludf.DUMMYFUNCTION("IMPORTRANGE(""https://docs.google.com/spreadsheets/d/1Yj_ptqi66GCucihVvJfMjLAmec39IyEx_6qawtMGysU/edit?usp=sharing"",""สบก!BA67"")"),0)</f>
        <v>0</v>
      </c>
      <c r="N122" s="169">
        <f ca="1">IFERROR(__xludf.DUMMYFUNCTION("IMPORTRANGE(""https://docs.google.com/spreadsheets/d/1Yj_ptqi66GCucihVvJfMjLAmec39IyEx_6qawtMGysU/edit?usp=sharing"",""สบก!BB67"")"),0)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IFERROR(__xludf.DUMMYFUNCTION("IMPORTRANGE(""https://docs.google.com/spreadsheets/d/1Yj_ptqi66GCucihVvJfMjLAmec39IyEx_6qawtMGysU/edit?usp=sharing"",""สบก!AW67"")"),0)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IFERROR(__xludf.DUMMYFUNCTION("IMPORTRANGE(""https://docs.google.com/spreadsheets/d/1Yj_ptqi66GCucihVvJfMjLAmec39IyEx_6qawtMGysU/edit?usp=sharing"",""สบก!AX67"")"),0)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IFERROR(__xludf.DUMMYFUNCTION("IMPORTRANGE(""https://docs.google.com/spreadsheets/d/1Yj_ptqi66GCucihVvJfMjLAmec39IyEx_6qawtMGysU/edit?usp=sharing"",""สบก!AY67"")"),0)</f>
        <v>0</v>
      </c>
      <c r="M126" s="49"/>
      <c r="N126" s="49">
        <f ca="1">IFERROR(__xludf.DUMMYFUNCTION("IMPORTRANGE(""https://docs.google.com/spreadsheets/d/1Yj_ptqi66GCucihVvJfMjLAmec39IyEx_6qawtMGysU/edit?usp=sharing"",""สบก!BC67"")"),0)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255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IFERROR(__xludf.DUMMYFUNCTION("IMPORTRANGE(""https://docs.google.com/spreadsheets/d/1SX6NBoVAgQJ6U1MVXOaj8PK2l7WJ3RER9xtqwdhxkhw/edit?usp=sharing"",""ปทุมธานี!J58"")"),0)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IFERROR(__xludf.DUMMYFUNCTION("IMPORTRANGE(""https://docs.google.com/spreadsheets/d/1SX6NBoVAgQJ6U1MVXOaj8PK2l7WJ3RER9xtqwdhxkhw/edit?usp=sharing"",""ปทุมธานี!J59"")"),0)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IFERROR(__xludf.DUMMYFUNCTION("IMPORTRANGE(""https://docs.google.com/spreadsheets/d/1SX6NBoVAgQJ6U1MVXOaj8PK2l7WJ3RER9xtqwdhxkhw/edit?usp=sharing"",""ปทุมธานี!J60"")"),0)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IFERROR(__xludf.DUMMYFUNCTION("IMPORTRANGE(""https://docs.google.com/spreadsheets/d/1SX6NBoVAgQJ6U1MVXOaj8PK2l7WJ3RER9xtqwdhxkhw/edit?usp=sharing"",""ปทุมธานี!J61"")"),0)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IFERROR(__xludf.DUMMYFUNCTION("IMPORTRANGE(""https://docs.google.com/spreadsheets/d/1SX6NBoVAgQJ6U1MVXOaj8PK2l7WJ3RER9xtqwdhxkhw/edit?usp=sharing"",""ปทุมธานี!I62"")"),0)</f>
        <v>0</v>
      </c>
      <c r="J132" s="204">
        <f ca="1">IFERROR(__xludf.DUMMYFUNCTION("IMPORTRANGE(""https://docs.google.com/spreadsheets/d/1SX6NBoVAgQJ6U1MVXOaj8PK2l7WJ3RER9xtqwdhxkhw/edit?usp=sharing"",""ปทุมธานี!J62"")"),0)</f>
        <v>0</v>
      </c>
      <c r="K132" s="224">
        <f t="shared" ref="K132:K133" ca="1" si="59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IFERROR(__xludf.DUMMYFUNCTION("IMPORTRANGE(""https://docs.google.com/spreadsheets/d/1SX6NBoVAgQJ6U1MVXOaj8PK2l7WJ3RER9xtqwdhxkhw/edit?usp=sharing"",""ปทุมธานี!I63"")"),0)</f>
        <v>0</v>
      </c>
      <c r="J133" s="204">
        <f ca="1">IFERROR(__xludf.DUMMYFUNCTION("IMPORTRANGE(""https://docs.google.com/spreadsheets/d/1SX6NBoVAgQJ6U1MVXOaj8PK2l7WJ3RER9xtqwdhxkhw/edit?usp=sharing"",""ปทุมธานี!J63"")"),0)</f>
        <v>0</v>
      </c>
      <c r="K133" s="224">
        <f t="shared" ca="1" si="59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IFERROR(__xludf.DUMMYFUNCTION("IMPORTRANGE(""https://docs.google.com/spreadsheets/d/1SX6NBoVAgQJ6U1MVXOaj8PK2l7WJ3RER9xtqwdhxkhw/edit?usp=sharing"",""ปทุมธานี!J64"")"),0)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IFERROR(__xludf.DUMMYFUNCTION("IMPORTRANGE(""https://docs.google.com/spreadsheets/d/1SX6NBoVAgQJ6U1MVXOaj8PK2l7WJ3RER9xtqwdhxkhw/edit?usp=sharing"",""ปทุมธานี!J65"")"),0)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IFERROR(__xludf.DUMMYFUNCTION("IMPORTRANGE(""https://docs.google.com/spreadsheets/d/1SX6NBoVAgQJ6U1MVXOaj8PK2l7WJ3RER9xtqwdhxkhw/edit?usp=sharing"",""ปทุมธานี!I68"")"),30)</f>
        <v>30</v>
      </c>
      <c r="J138" s="267">
        <f ca="1">IFERROR(__xludf.DUMMYFUNCTION("IMPORTRANGE(""https://docs.google.com/spreadsheets/d/1SX6NBoVAgQJ6U1MVXOaj8PK2l7WJ3RER9xtqwdhxkhw/edit?usp=sharing"",""ปทุมธานี!J68"")"),30)</f>
        <v>30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0">L141+L142</f>
        <v>668300</v>
      </c>
      <c r="M140" s="152">
        <f t="shared" ca="1" si="60"/>
        <v>519325</v>
      </c>
      <c r="N140" s="152">
        <f t="shared" ca="1" si="60"/>
        <v>333282.76</v>
      </c>
      <c r="O140" s="151">
        <f t="shared" ref="O140:O142" ca="1" si="61">IF(L140&gt;0,N140*100/L140,0)</f>
        <v>49.870231931767172</v>
      </c>
      <c r="P140" s="151">
        <f t="shared" ref="P140:P142" ca="1" si="62">IF(M140&gt;0,N140*100/M140,0)</f>
        <v>64.176144033119911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3">L143+L147</f>
        <v>0</v>
      </c>
      <c r="M141" s="157">
        <f t="shared" si="63"/>
        <v>0</v>
      </c>
      <c r="N141" s="157">
        <f t="shared" si="63"/>
        <v>0</v>
      </c>
      <c r="O141" s="156">
        <f t="shared" si="61"/>
        <v>0</v>
      </c>
      <c r="P141" s="156">
        <f t="shared" si="62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4">L144+L148</f>
        <v>668300</v>
      </c>
      <c r="M142" s="157">
        <f t="shared" ca="1" si="64"/>
        <v>519325</v>
      </c>
      <c r="N142" s="157">
        <f t="shared" ca="1" si="64"/>
        <v>333282.76</v>
      </c>
      <c r="O142" s="156">
        <f t="shared" ca="1" si="61"/>
        <v>49.870231931767172</v>
      </c>
      <c r="P142" s="156">
        <f t="shared" ca="1" si="62"/>
        <v>64.176144033119911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668300</v>
      </c>
      <c r="M144" s="168">
        <f ca="1">IFERROR(__xludf.DUMMYFUNCTION("IMPORTRANGE(""https://docs.google.com/spreadsheets/d/1Yj_ptqi66GCucihVvJfMjLAmec39IyEx_6qawtMGysU/edit?usp=sharing"",""สบก!BJ67"")"),519325)</f>
        <v>519325</v>
      </c>
      <c r="N144" s="169">
        <f ca="1">IFERROR(__xludf.DUMMYFUNCTION("IMPORTRANGE(""https://docs.google.com/spreadsheets/d/1Yj_ptqi66GCucihVvJfMjLAmec39IyEx_6qawtMGysU/edit?usp=sharing"",""สบก!BK67"")"),333282.76)</f>
        <v>333282.76</v>
      </c>
      <c r="O144" s="169">
        <f ca="1">IF(L144&gt;0,N144*100/L144,0)</f>
        <v>49.870231931767172</v>
      </c>
      <c r="P144" s="169">
        <f ca="1">IF(M144&gt;0,N144*100/M144,0)</f>
        <v>64.176144033119911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IFERROR(__xludf.DUMMYFUNCTION("IMPORTRANGE(""https://docs.google.com/spreadsheets/d/1Yj_ptqi66GCucihVvJfMjLAmec39IyEx_6qawtMGysU/edit?usp=sharing"",""สบก!BF67"")"),448300)</f>
        <v>448300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IFERROR(__xludf.DUMMYFUNCTION("IMPORTRANGE(""https://docs.google.com/spreadsheets/d/1Yj_ptqi66GCucihVvJfMjLAmec39IyEx_6qawtMGysU/edit?usp=sharing"",""สบก!BG67"")"),220000)</f>
        <v>220000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IFERROR(__xludf.DUMMYFUNCTION("IMPORTRANGE(""https://docs.google.com/spreadsheets/d/1Yj_ptqi66GCucihVvJfMjLAmec39IyEx_6qawtMGysU/edit?usp=sharing"",""สบก!BH67"")"),0)</f>
        <v>0</v>
      </c>
      <c r="M148" s="49"/>
      <c r="N148" s="49">
        <f ca="1">IFERROR(__xludf.DUMMYFUNCTION("IMPORTRANGE(""https://docs.google.com/spreadsheets/d/1Yj_ptqi66GCucihVvJfMjLAmec39IyEx_6qawtMGysU/edit?usp=sharing"",""สบก!BL67"")"),0)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IFERROR(__xludf.DUMMYFUNCTION("IMPORTRANGE(""https://docs.google.com/spreadsheets/d/1SX6NBoVAgQJ6U1MVXOaj8PK2l7WJ3RER9xtqwdhxkhw/edit?usp=sharing"",""ปทุมธานี!I74"")"),4)</f>
        <v>4</v>
      </c>
      <c r="J149" s="275">
        <f ca="1">IFERROR(__xludf.DUMMYFUNCTION("IMPORTRANGE(""https://docs.google.com/spreadsheets/d/1SX6NBoVAgQJ6U1MVXOaj8PK2l7WJ3RER9xtqwdhxkhw/edit?usp=sharing"",""ปทุมธานี!J74"")"),2)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IFERROR(__xludf.DUMMYFUNCTION("IMPORTRANGE(""https://docs.google.com/spreadsheets/d/1SX6NBoVAgQJ6U1MVXOaj8PK2l7WJ3RER9xtqwdhxkhw/edit?usp=sharing"",""ปทุมธานี!J79"")"),0)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IFERROR(__xludf.DUMMYFUNCTION("IMPORTRANGE(""https://docs.google.com/spreadsheets/d/1SX6NBoVAgQJ6U1MVXOaj8PK2l7WJ3RER9xtqwdhxkhw/edit?usp=sharing"",""ปทุมธานี!J80"")"),1)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IFERROR(__xludf.DUMMYFUNCTION("IMPORTRANGE(""https://docs.google.com/spreadsheets/d/1SX6NBoVAgQJ6U1MVXOaj8PK2l7WJ3RER9xtqwdhxkhw/edit?usp=sharing"",""ปทุมธานี!J81"")"),1)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IFERROR(__xludf.DUMMYFUNCTION("IMPORTRANGE(""https://docs.google.com/spreadsheets/d/1SX6NBoVAgQJ6U1MVXOaj8PK2l7WJ3RER9xtqwdhxkhw/edit?usp=sharing"",""ปทุมธานี!J82"")"),1)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IFERROR(__xludf.DUMMYFUNCTION("IMPORTRANGE(""https://docs.google.com/spreadsheets/d/1SX6NBoVAgQJ6U1MVXOaj8PK2l7WJ3RER9xtqwdhxkhw/edit?usp=sharing"",""ปทุมธานี!I83"")"),4)</f>
        <v>4</v>
      </c>
      <c r="J158" s="189">
        <f ca="1">IFERROR(__xludf.DUMMYFUNCTION("IMPORTRANGE(""https://docs.google.com/spreadsheets/d/1SX6NBoVAgQJ6U1MVXOaj8PK2l7WJ3RER9xtqwdhxkhw/edit?usp=sharing"",""ปทุมธานี!J83"")"),2)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IFERROR(__xludf.DUMMYFUNCTION("IMPORTRANGE(""https://docs.google.com/spreadsheets/d/1SX6NBoVAgQJ6U1MVXOaj8PK2l7WJ3RER9xtqwdhxkhw/edit?usp=sharing"",""ปทุมธานี!J84"")"),59)</f>
        <v>59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IFERROR(__xludf.DUMMYFUNCTION("IMPORTRANGE(""https://docs.google.com/spreadsheets/d/1SX6NBoVAgQJ6U1MVXOaj8PK2l7WJ3RER9xtqwdhxkhw/edit?usp=sharing"",""ปทุมธานี!J85"")"),59)</f>
        <v>59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IFERROR(__xludf.DUMMYFUNCTION("IMPORTRANGE(""https://docs.google.com/spreadsheets/d/1SX6NBoVAgQJ6U1MVXOaj8PK2l7WJ3RER9xtqwdhxkhw/edit?usp=sharing"",""ปทุมธานี!J86"")"),0)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IFERROR(__xludf.DUMMYFUNCTION("IMPORTRANGE(""https://docs.google.com/spreadsheets/d/1SX6NBoVAgQJ6U1MVXOaj8PK2l7WJ3RER9xtqwdhxkhw/edit?usp=sharing"",""ปทุมธานี!J87"")"),0)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IFERROR(__xludf.DUMMYFUNCTION("IMPORTRANGE(""https://docs.google.com/spreadsheets/d/1SX6NBoVAgQJ6U1MVXOaj8PK2l7WJ3RER9xtqwdhxkhw/edit?usp=sharing"",""ปทุมธานี!J88"")"),0)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IFERROR(__xludf.DUMMYFUNCTION("IMPORTRANGE(""https://docs.google.com/spreadsheets/d/1SX6NBoVAgQJ6U1MVXOaj8PK2l7WJ3RER9xtqwdhxkhw/edit?usp=sharing"",""ปทุมธานี!I89"")"),1)</f>
        <v>1</v>
      </c>
      <c r="J164" s="284">
        <f ca="1">IFERROR(__xludf.DUMMYFUNCTION("IMPORTRANGE(""https://docs.google.com/spreadsheets/d/1SX6NBoVAgQJ6U1MVXOaj8PK2l7WJ3RER9xtqwdhxkhw/edit?usp=sharing"",""ปทุมธานี!J89"")"),1)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IFERROR(__xludf.DUMMYFUNCTION("IMPORTRANGE(""https://docs.google.com/spreadsheets/d/1SX6NBoVAgQJ6U1MVXOaj8PK2l7WJ3RER9xtqwdhxkhw/edit?usp=sharing"",""ปทุมธานี!J94"")"),0)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IFERROR(__xludf.DUMMYFUNCTION("IMPORTRANGE(""https://docs.google.com/spreadsheets/d/1SX6NBoVAgQJ6U1MVXOaj8PK2l7WJ3RER9xtqwdhxkhw/edit?usp=sharing"",""ปทุมธานี!J95"")"),1)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IFERROR(__xludf.DUMMYFUNCTION("IMPORTRANGE(""https://docs.google.com/spreadsheets/d/1SX6NBoVAgQJ6U1MVXOaj8PK2l7WJ3RER9xtqwdhxkhw/edit?usp=sharing"",""ปทุมธานี!J96"")"),1)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IFERROR(__xludf.DUMMYFUNCTION("IMPORTRANGE(""https://docs.google.com/spreadsheets/d/1SX6NBoVAgQJ6U1MVXOaj8PK2l7WJ3RER9xtqwdhxkhw/edit?usp=sharing"",""ปทุมธานี!J97"")"),0)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IFERROR(__xludf.DUMMYFUNCTION("IMPORTRANGE(""https://docs.google.com/spreadsheets/d/1SX6NBoVAgQJ6U1MVXOaj8PK2l7WJ3RER9xtqwdhxkhw/edit?usp=sharing"",""ปทุมธานี!I98"")"),1)</f>
        <v>1</v>
      </c>
      <c r="J173" s="189">
        <f ca="1">IFERROR(__xludf.DUMMYFUNCTION("IMPORTRANGE(""https://docs.google.com/spreadsheets/d/1SX6NBoVAgQJ6U1MVXOaj8PK2l7WJ3RER9xtqwdhxkhw/edit?usp=sharing"",""ปทุมธานี!J98"")"),1)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IFERROR(__xludf.DUMMYFUNCTION("IMPORTRANGE(""https://docs.google.com/spreadsheets/d/1SX6NBoVAgQJ6U1MVXOaj8PK2l7WJ3RER9xtqwdhxkhw/edit?usp=sharing"",""ปทุมธานี!J99"")"),1)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IFERROR(__xludf.DUMMYFUNCTION("IMPORTRANGE(""https://docs.google.com/spreadsheets/d/1SX6NBoVAgQJ6U1MVXOaj8PK2l7WJ3RER9xtqwdhxkhw/edit?usp=sharing"",""ปทุมธานี!J100"")"),1)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IFERROR(__xludf.DUMMYFUNCTION("IMPORTRANGE(""https://docs.google.com/spreadsheets/d/1SX6NBoVAgQJ6U1MVXOaj8PK2l7WJ3RER9xtqwdhxkhw/edit?usp=sharing"",""ปทุมธานี!I101"")"),0)</f>
        <v>0</v>
      </c>
      <c r="J176" s="284">
        <f ca="1">IFERROR(__xludf.DUMMYFUNCTION("IMPORTRANGE(""https://docs.google.com/spreadsheets/d/1SX6NBoVAgQJ6U1MVXOaj8PK2l7WJ3RER9xtqwdhxkhw/edit?usp=sharing"",""ปทุมธานี!J101"")"),0)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IFERROR(__xludf.DUMMYFUNCTION("IMPORTRANGE(""https://docs.google.com/spreadsheets/d/1SX6NBoVAgQJ6U1MVXOaj8PK2l7WJ3RER9xtqwdhxkhw/edit?usp=sharing"",""ปทุมธานี!J106"")"),0)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IFERROR(__xludf.DUMMYFUNCTION("IMPORTRANGE(""https://docs.google.com/spreadsheets/d/1SX6NBoVAgQJ6U1MVXOaj8PK2l7WJ3RER9xtqwdhxkhw/edit?usp=sharing"",""ปทุมธานี!J107"")"),0)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IFERROR(__xludf.DUMMYFUNCTION("IMPORTRANGE(""https://docs.google.com/spreadsheets/d/1SX6NBoVAgQJ6U1MVXOaj8PK2l7WJ3RER9xtqwdhxkhw/edit?usp=sharing"",""ปทุมธานี!J108"")"),0)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IFERROR(__xludf.DUMMYFUNCTION("IMPORTRANGE(""https://docs.google.com/spreadsheets/d/1SX6NBoVAgQJ6U1MVXOaj8PK2l7WJ3RER9xtqwdhxkhw/edit?usp=sharing"",""ปทุมธานี!J109"")"),0)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IFERROR(__xludf.DUMMYFUNCTION("IMPORTRANGE(""https://docs.google.com/spreadsheets/d/1SX6NBoVAgQJ6U1MVXOaj8PK2l7WJ3RER9xtqwdhxkhw/edit?usp=sharing"",""ปทุมธานี!I110"")"),0)</f>
        <v>0</v>
      </c>
      <c r="J185" s="204">
        <f ca="1">IFERROR(__xludf.DUMMYFUNCTION("IMPORTRANGE(""https://docs.google.com/spreadsheets/d/1SX6NBoVAgQJ6U1MVXOaj8PK2l7WJ3RER9xtqwdhxkhw/edit?usp=sharing"",""ปทุมธานี!J110"")"),0)</f>
        <v>0</v>
      </c>
      <c r="K185" s="224">
        <f t="shared" ref="K185:K186" ca="1" si="65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IFERROR(__xludf.DUMMYFUNCTION("IMPORTRANGE(""https://docs.google.com/spreadsheets/d/1SX6NBoVAgQJ6U1MVXOaj8PK2l7WJ3RER9xtqwdhxkhw/edit?usp=sharing"",""ปทุมธานี!I111"")"),0)</f>
        <v>0</v>
      </c>
      <c r="J186" s="204">
        <f ca="1">IFERROR(__xludf.DUMMYFUNCTION("IMPORTRANGE(""https://docs.google.com/spreadsheets/d/1SX6NBoVAgQJ6U1MVXOaj8PK2l7WJ3RER9xtqwdhxkhw/edit?usp=sharing"",""ปทุมธานี!J111"")"),0)</f>
        <v>0</v>
      </c>
      <c r="K186" s="224">
        <f t="shared" ca="1" si="65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IFERROR(__xludf.DUMMYFUNCTION("IMPORTRANGE(""https://docs.google.com/spreadsheets/d/1SX6NBoVAgQJ6U1MVXOaj8PK2l7WJ3RER9xtqwdhxkhw/edit?usp=sharing"",""ปทุมธานี!J112"")"),0)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IFERROR(__xludf.DUMMYFUNCTION("IMPORTRANGE(""https://docs.google.com/spreadsheets/d/1SX6NBoVAgQJ6U1MVXOaj8PK2l7WJ3RER9xtqwdhxkhw/edit?usp=sharing"",""ปทุมธานี!J113"")"),0)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IFERROR(__xludf.DUMMYFUNCTION("IMPORTRANGE(""https://docs.google.com/spreadsheets/d/1SX6NBoVAgQJ6U1MVXOaj8PK2l7WJ3RER9xtqwdhxkhw/edit?usp=sharing"",""ปทุมธานี!I114"")"),20000)</f>
        <v>20000</v>
      </c>
      <c r="J189" s="284">
        <f ca="1">IFERROR(__xludf.DUMMYFUNCTION("IMPORTRANGE(""https://docs.google.com/spreadsheets/d/1SX6NBoVAgQJ6U1MVXOaj8PK2l7WJ3RER9xtqwdhxkhw/edit?usp=sharing"",""ปทุมธานี!J114"")"),0)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IFERROR(__xludf.DUMMYFUNCTION("IMPORTRANGE(""https://docs.google.com/spreadsheets/d/1SX6NBoVAgQJ6U1MVXOaj8PK2l7WJ3RER9xtqwdhxkhw/edit?usp=sharing"",""ปทุมธานี!J119"")"),0)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IFERROR(__xludf.DUMMYFUNCTION("IMPORTRANGE(""https://docs.google.com/spreadsheets/d/1SX6NBoVAgQJ6U1MVXOaj8PK2l7WJ3RER9xtqwdhxkhw/edit?usp=sharing"",""ปทุมธานี!J120"")"),1)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IFERROR(__xludf.DUMMYFUNCTION("IMPORTRANGE(""https://docs.google.com/spreadsheets/d/1SX6NBoVAgQJ6U1MVXOaj8PK2l7WJ3RER9xtqwdhxkhw/edit?usp=sharing"",""ปทุมธานี!J121"")"),1)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IFERROR(__xludf.DUMMYFUNCTION("IMPORTRANGE(""https://docs.google.com/spreadsheets/d/1SX6NBoVAgQJ6U1MVXOaj8PK2l7WJ3RER9xtqwdhxkhw/edit?usp=sharing"",""ปทุมธานี!J122"")"),0)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IFERROR(__xludf.DUMMYFUNCTION("IMPORTRANGE(""https://docs.google.com/spreadsheets/d/1SX6NBoVAgQJ6U1MVXOaj8PK2l7WJ3RER9xtqwdhxkhw/edit?usp=sharing"",""ปทุมธานี!I124"")"),20000)</f>
        <v>20000</v>
      </c>
      <c r="J199" s="189">
        <f ca="1">IFERROR(__xludf.DUMMYFUNCTION("IMPORTRANGE(""https://docs.google.com/spreadsheets/d/1SX6NBoVAgQJ6U1MVXOaj8PK2l7WJ3RER9xtqwdhxkhw/edit?usp=sharing"",""ปทุมธานี!J124"")"),0)</f>
        <v>0</v>
      </c>
      <c r="K199" s="163">
        <f t="shared" ref="K199:K201" ca="1" si="66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IFERROR(__xludf.DUMMYFUNCTION("IMPORTRANGE(""https://docs.google.com/spreadsheets/d/1SX6NBoVAgQJ6U1MVXOaj8PK2l7WJ3RER9xtqwdhxkhw/edit?usp=sharing"",""ปทุมธานี!I125"")"),20000)</f>
        <v>20000</v>
      </c>
      <c r="J200" s="189">
        <f ca="1">IFERROR(__xludf.DUMMYFUNCTION("IMPORTRANGE(""https://docs.google.com/spreadsheets/d/1SX6NBoVAgQJ6U1MVXOaj8PK2l7WJ3RER9xtqwdhxkhw/edit?usp=sharing"",""ปทุมธานี!J125"")"),0)</f>
        <v>0</v>
      </c>
      <c r="K200" s="163">
        <f t="shared" ca="1" si="66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IFERROR(__xludf.DUMMYFUNCTION("IMPORTRANGE(""https://docs.google.com/spreadsheets/d/1SX6NBoVAgQJ6U1MVXOaj8PK2l7WJ3RER9xtqwdhxkhw/edit?usp=sharing"",""ปทุมธานี!I126"")"),0)</f>
        <v>0</v>
      </c>
      <c r="J201" s="189">
        <f ca="1">IFERROR(__xludf.DUMMYFUNCTION("IMPORTRANGE(""https://docs.google.com/spreadsheets/d/1SX6NBoVAgQJ6U1MVXOaj8PK2l7WJ3RER9xtqwdhxkhw/edit?usp=sharing"",""ปทุมธานี!J126"")"),0)</f>
        <v>0</v>
      </c>
      <c r="K201" s="163">
        <f t="shared" ca="1" si="66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IFERROR(__xludf.DUMMYFUNCTION("IMPORTRANGE(""https://docs.google.com/spreadsheets/d/1SX6NBoVAgQJ6U1MVXOaj8PK2l7WJ3RER9xtqwdhxkhw/edit?usp=sharing"",""ปทุมธานี!J127"")"),0)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IFERROR(__xludf.DUMMYFUNCTION("IMPORTRANGE(""https://docs.google.com/spreadsheets/d/1SX6NBoVAgQJ6U1MVXOaj8PK2l7WJ3RER9xtqwdhxkhw/edit?usp=sharing"",""ปทุมธานี!J128"")"),0)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IFERROR(__xludf.DUMMYFUNCTION("IMPORTRANGE(""https://docs.google.com/spreadsheets/d/1SX6NBoVAgQJ6U1MVXOaj8PK2l7WJ3RER9xtqwdhxkhw/edit?usp=sharing"",""ปทุมธานี!I129"")"),30)</f>
        <v>30</v>
      </c>
      <c r="J204" s="284">
        <f ca="1">IFERROR(__xludf.DUMMYFUNCTION("IMPORTRANGE(""https://docs.google.com/spreadsheets/d/1SX6NBoVAgQJ6U1MVXOaj8PK2l7WJ3RER9xtqwdhxkhw/edit?usp=sharing"",""ปทุมธานี!J129"")"),30)</f>
        <v>30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IFERROR(__xludf.DUMMYFUNCTION("IMPORTRANGE(""https://docs.google.com/spreadsheets/d/1SX6NBoVAgQJ6U1MVXOaj8PK2l7WJ3RER9xtqwdhxkhw/edit?usp=sharing"",""ปทุมธานี!J134"")"),0)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IFERROR(__xludf.DUMMYFUNCTION("IMPORTRANGE(""https://docs.google.com/spreadsheets/d/1SX6NBoVAgQJ6U1MVXOaj8PK2l7WJ3RER9xtqwdhxkhw/edit?usp=sharing"",""ปทุมธานี!J135"")"),1)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IFERROR(__xludf.DUMMYFUNCTION("IMPORTRANGE(""https://docs.google.com/spreadsheets/d/1SX6NBoVAgQJ6U1MVXOaj8PK2l7WJ3RER9xtqwdhxkhw/edit?usp=sharing"",""ปทุมธานี!J136"")"),1)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IFERROR(__xludf.DUMMYFUNCTION("IMPORTRANGE(""https://docs.google.com/spreadsheets/d/1SX6NBoVAgQJ6U1MVXOaj8PK2l7WJ3RER9xtqwdhxkhw/edit?usp=sharing"",""ปทุมธานี!J137"")"),1)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IFERROR(__xludf.DUMMYFUNCTION("IMPORTRANGE(""https://docs.google.com/spreadsheets/d/1SX6NBoVAgQJ6U1MVXOaj8PK2l7WJ3RER9xtqwdhxkhw/edit?usp=sharing"",""ปทุมธานี!I138"")"),30)</f>
        <v>30</v>
      </c>
      <c r="J213" s="204">
        <f ca="1">IFERROR(__xludf.DUMMYFUNCTION("IMPORTRANGE(""https://docs.google.com/spreadsheets/d/1SX6NBoVAgQJ6U1MVXOaj8PK2l7WJ3RER9xtqwdhxkhw/edit?usp=sharing"",""ปทุมธานี!J138"")"),30)</f>
        <v>30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IFERROR(__xludf.DUMMYFUNCTION("IMPORTRANGE(""https://docs.google.com/spreadsheets/d/1SX6NBoVAgQJ6U1MVXOaj8PK2l7WJ3RER9xtqwdhxkhw/edit?usp=sharing"",""ปทุมธานี!I140"")"),0)</f>
        <v>0</v>
      </c>
      <c r="J215" s="204">
        <f ca="1">IFERROR(__xludf.DUMMYFUNCTION("IMPORTRANGE(""https://docs.google.com/spreadsheets/d/1SX6NBoVAgQJ6U1MVXOaj8PK2l7WJ3RER9xtqwdhxkhw/edit?usp=sharing"",""ปทุมธานี!J140"")"),0)</f>
        <v>0</v>
      </c>
      <c r="K215" s="224">
        <f t="shared" ref="K215:K216" ca="1" si="67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IFERROR(__xludf.DUMMYFUNCTION("IMPORTRANGE(""https://docs.google.com/spreadsheets/d/1SX6NBoVAgQJ6U1MVXOaj8PK2l7WJ3RER9xtqwdhxkhw/edit?usp=sharing"",""ปทุมธานี!I141"")"),1)</f>
        <v>1</v>
      </c>
      <c r="J216" s="204">
        <f ca="1">IFERROR(__xludf.DUMMYFUNCTION("IMPORTRANGE(""https://docs.google.com/spreadsheets/d/1SX6NBoVAgQJ6U1MVXOaj8PK2l7WJ3RER9xtqwdhxkhw/edit?usp=sharing"",""ปทุมธานี!J141"")"),0)</f>
        <v>0</v>
      </c>
      <c r="K216" s="224">
        <f t="shared" ca="1" si="67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IFERROR(__xludf.DUMMYFUNCTION("IMPORTRANGE(""https://docs.google.com/spreadsheets/d/1SX6NBoVAgQJ6U1MVXOaj8PK2l7WJ3RER9xtqwdhxkhw/edit?usp=sharing"",""ปทุมธานี!J142"")"),0)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IFERROR(__xludf.DUMMYFUNCTION("IMPORTRANGE(""https://docs.google.com/spreadsheets/d/1SX6NBoVAgQJ6U1MVXOaj8PK2l7WJ3RER9xtqwdhxkhw/edit?usp=sharing"",""ปทุมธานี!J143"")"),0)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IFERROR(__xludf.DUMMYFUNCTION("IMPORTRANGE(""https://docs.google.com/spreadsheets/d/1SX6NBoVAgQJ6U1MVXOaj8PK2l7WJ3RER9xtqwdhxkhw/edit?usp=sharing"",""ปทุมธานี!I144"")"),15)</f>
        <v>15</v>
      </c>
      <c r="J219" s="267">
        <f ca="1">IFERROR(__xludf.DUMMYFUNCTION("IMPORTRANGE(""https://docs.google.com/spreadsheets/d/1SX6NBoVAgQJ6U1MVXOaj8PK2l7WJ3RER9xtqwdhxkhw/edit?usp=sharing"",""ปทุมธานี!J144"")"),15)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68">L221+L222</f>
        <v>21125</v>
      </c>
      <c r="M220" s="152">
        <f t="shared" ca="1" si="68"/>
        <v>21125</v>
      </c>
      <c r="N220" s="152">
        <f t="shared" ca="1" si="68"/>
        <v>21125</v>
      </c>
      <c r="O220" s="151">
        <f t="shared" ref="O220:O222" ca="1" si="69">IF(L220&gt;0,N220*100/L220,0)</f>
        <v>100</v>
      </c>
      <c r="P220" s="151">
        <f t="shared" ref="P220:P222" ca="1" si="70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1">L223+L227</f>
        <v>0</v>
      </c>
      <c r="M221" s="157">
        <f t="shared" si="71"/>
        <v>0</v>
      </c>
      <c r="N221" s="157">
        <f t="shared" si="71"/>
        <v>0</v>
      </c>
      <c r="O221" s="156">
        <f t="shared" si="69"/>
        <v>0</v>
      </c>
      <c r="P221" s="156">
        <f t="shared" si="70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2">L224+L228</f>
        <v>21125</v>
      </c>
      <c r="M222" s="157">
        <f t="shared" ca="1" si="72"/>
        <v>21125</v>
      </c>
      <c r="N222" s="157">
        <f t="shared" ca="1" si="72"/>
        <v>21125</v>
      </c>
      <c r="O222" s="156">
        <f t="shared" ca="1" si="69"/>
        <v>100</v>
      </c>
      <c r="P222" s="156">
        <f t="shared" ca="1" si="70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IFERROR(__xludf.DUMMYFUNCTION("IMPORTRANGE(""https://docs.google.com/spreadsheets/d/1Yj_ptqi66GCucihVvJfMjLAmec39IyEx_6qawtMGysU/edit?usp=sharing"",""สบก!BS67"")"),21125)</f>
        <v>21125</v>
      </c>
      <c r="N224" s="169">
        <f ca="1">IFERROR(__xludf.DUMMYFUNCTION("IMPORTRANGE(""https://docs.google.com/spreadsheets/d/1Yj_ptqi66GCucihVvJfMjLAmec39IyEx_6qawtMGysU/edit?usp=sharing"",""สบก!BT67"")"),21125)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IFERROR(__xludf.DUMMYFUNCTION("IMPORTRANGE(""https://docs.google.com/spreadsheets/d/1Yj_ptqi66GCucihVvJfMjLAmec39IyEx_6qawtMGysU/edit?usp=sharing"",""สบก!BO67"")"),0)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IFERROR(__xludf.DUMMYFUNCTION("IMPORTRANGE(""https://docs.google.com/spreadsheets/d/1Yj_ptqi66GCucihVvJfMjLAmec39IyEx_6qawtMGysU/edit?usp=sharing"",""สบก!BP67"")"),21125)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IFERROR(__xludf.DUMMYFUNCTION("IMPORTRANGE(""https://docs.google.com/spreadsheets/d/1Yj_ptqi66GCucihVvJfMjLAmec39IyEx_6qawtMGysU/edit?usp=sharing"",""สบก!BQ67"")"),0)</f>
        <v>0</v>
      </c>
      <c r="M228" s="49"/>
      <c r="N228" s="49">
        <f ca="1">IFERROR(__xludf.DUMMYFUNCTION("IMPORTRANGE(""https://docs.google.com/spreadsheets/d/1Yj_ptqi66GCucihVvJfMjLAmec39IyEx_6qawtMGysU/edit?usp=sharing"",""สบก!BU67"")"),0)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IFERROR(__xludf.DUMMYFUNCTION("IMPORTRANGE(""https://docs.google.com/spreadsheets/d/1SX6NBoVAgQJ6U1MVXOaj8PK2l7WJ3RER9xtqwdhxkhw/edit?usp=sharing"",""ปทุมธานี!I149"")"),15)</f>
        <v>15</v>
      </c>
      <c r="J229" s="267">
        <f ca="1">IFERROR(__xludf.DUMMYFUNCTION("IMPORTRANGE(""https://docs.google.com/spreadsheets/d/1SX6NBoVAgQJ6U1MVXOaj8PK2l7WJ3RER9xtqwdhxkhw/edit?usp=sharing"",""ปทุมธานี!J149"")"),15)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IFERROR(__xludf.DUMMYFUNCTION("IMPORTRANGE(""https://docs.google.com/spreadsheets/d/1SX6NBoVAgQJ6U1MVXOaj8PK2l7WJ3RER9xtqwdhxkhw/edit?usp=sharing"",""ปทุมธานี!J151"")"),0)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IFERROR(__xludf.DUMMYFUNCTION("IMPORTRANGE(""https://docs.google.com/spreadsheets/d/1SX6NBoVAgQJ6U1MVXOaj8PK2l7WJ3RER9xtqwdhxkhw/edit?usp=sharing"",""ปทุมธานี!J152"")"),1)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IFERROR(__xludf.DUMMYFUNCTION("IMPORTRANGE(""https://docs.google.com/spreadsheets/d/1SX6NBoVAgQJ6U1MVXOaj8PK2l7WJ3RER9xtqwdhxkhw/edit?usp=sharing"",""ปทุมธานี!J153"")"),1)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IFERROR(__xludf.DUMMYFUNCTION("IMPORTRANGE(""https://docs.google.com/spreadsheets/d/1SX6NBoVAgQJ6U1MVXOaj8PK2l7WJ3RER9xtqwdhxkhw/edit?usp=sharing"",""ปทุมธานี!J154"")"),1)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IFERROR(__xludf.DUMMYFUNCTION("IMPORTRANGE(""https://docs.google.com/spreadsheets/d/1SX6NBoVAgQJ6U1MVXOaj8PK2l7WJ3RER9xtqwdhxkhw/edit?usp=sharing"",""ปทุมธานี!I155"")"),15)</f>
        <v>15</v>
      </c>
      <c r="J235" s="189">
        <f ca="1">IFERROR(__xludf.DUMMYFUNCTION("IMPORTRANGE(""https://docs.google.com/spreadsheets/d/1SX6NBoVAgQJ6U1MVXOaj8PK2l7WJ3RER9xtqwdhxkhw/edit?usp=sharing"",""ปทุมธานี!J155"")"),15)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IFERROR(__xludf.DUMMYFUNCTION("IMPORTRANGE(""https://docs.google.com/spreadsheets/d/1SX6NBoVAgQJ6U1MVXOaj8PK2l7WJ3RER9xtqwdhxkhw/edit?usp=sharing"",""ปทุมธานี!J156"")"),0)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IFERROR(__xludf.DUMMYFUNCTION("IMPORTRANGE(""https://docs.google.com/spreadsheets/d/1SX6NBoVAgQJ6U1MVXOaj8PK2l7WJ3RER9xtqwdhxkhw/edit?usp=sharing"",""ปทุมธานี!J157"")"),0)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IFERROR(__xludf.DUMMYFUNCTION("IMPORTRANGE(""https://docs.google.com/spreadsheets/d/1SX6NBoVAgQJ6U1MVXOaj8PK2l7WJ3RER9xtqwdhxkhw/edit?usp=sharing"",""ปทุมธานี!I158"")"),0)</f>
        <v>0</v>
      </c>
      <c r="J238" s="267">
        <f ca="1">IFERROR(__xludf.DUMMYFUNCTION("IMPORTRANGE(""https://docs.google.com/spreadsheets/d/1SX6NBoVAgQJ6U1MVXOaj8PK2l7WJ3RER9xtqwdhxkhw/edit?usp=sharing"",""ปทุมธานี!J158"")"),0)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IFERROR(__xludf.DUMMYFUNCTION("IMPORTRANGE(""https://docs.google.com/spreadsheets/d/1SX6NBoVAgQJ6U1MVXOaj8PK2l7WJ3RER9xtqwdhxkhw/edit?usp=sharing"",""ปทุมธานี!J159"")"),"")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IFERROR(__xludf.DUMMYFUNCTION("IMPORTRANGE(""https://docs.google.com/spreadsheets/d/1SX6NBoVAgQJ6U1MVXOaj8PK2l7WJ3RER9xtqwdhxkhw/edit?usp=sharing"",""ปทุมธานี!J161"")"),0)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IFERROR(__xludf.DUMMYFUNCTION("IMPORTRANGE(""https://docs.google.com/spreadsheets/d/1SX6NBoVAgQJ6U1MVXOaj8PK2l7WJ3RER9xtqwdhxkhw/edit?usp=sharing"",""ปทุมธานี!J162"")"),0)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IFERROR(__xludf.DUMMYFUNCTION("IMPORTRANGE(""https://docs.google.com/spreadsheets/d/1SX6NBoVAgQJ6U1MVXOaj8PK2l7WJ3RER9xtqwdhxkhw/edit?usp=sharing"",""ปทุมธานี!J163"")"),0)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IFERROR(__xludf.DUMMYFUNCTION("IMPORTRANGE(""https://docs.google.com/spreadsheets/d/1SX6NBoVAgQJ6U1MVXOaj8PK2l7WJ3RER9xtqwdhxkhw/edit?usp=sharing"",""ปทุมธานี!I164"")"),0)</f>
        <v>0</v>
      </c>
      <c r="J244" s="188">
        <f ca="1">IFERROR(__xludf.DUMMYFUNCTION("IMPORTRANGE(""https://docs.google.com/spreadsheets/d/1SX6NBoVAgQJ6U1MVXOaj8PK2l7WJ3RER9xtqwdhxkhw/edit?usp=sharing"",""ปทุมธานี!J164"")"),0)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IFERROR(__xludf.DUMMYFUNCTION("IMPORTRANGE(""https://docs.google.com/spreadsheets/d/1SX6NBoVAgQJ6U1MVXOaj8PK2l7WJ3RER9xtqwdhxkhw/edit?usp=sharing"",""ปทุมธานี!J165"")"),0)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IFERROR(__xludf.DUMMYFUNCTION("IMPORTRANGE(""https://docs.google.com/spreadsheets/d/1SX6NBoVAgQJ6U1MVXOaj8PK2l7WJ3RER9xtqwdhxkhw/edit?usp=sharing"",""ปทุมธานี!J166"")"),0)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IFERROR(__xludf.DUMMYFUNCTION("IMPORTRANGE(""https://docs.google.com/spreadsheets/d/1SX6NBoVAgQJ6U1MVXOaj8PK2l7WJ3RER9xtqwdhxkhw/edit?usp=sharing"",""ปทุมธานี!I169"")"),0)</f>
        <v>0</v>
      </c>
      <c r="J249" s="316">
        <f ca="1">IFERROR(__xludf.DUMMYFUNCTION("IMPORTRANGE(""https://docs.google.com/spreadsheets/d/1SX6NBoVAgQJ6U1MVXOaj8PK2l7WJ3RER9xtqwdhxkhw/edit?usp=sharing"",""ปทุมธานี!J169"")"),0)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3">L251+L252</f>
        <v>0</v>
      </c>
      <c r="M250" s="152">
        <f t="shared" ca="1" si="73"/>
        <v>0</v>
      </c>
      <c r="N250" s="152">
        <f t="shared" ca="1" si="73"/>
        <v>0</v>
      </c>
      <c r="O250" s="151">
        <f t="shared" ref="O250:O252" ca="1" si="74">IF(L250&gt;0,N250*100/L250,0)</f>
        <v>0</v>
      </c>
      <c r="P250" s="151">
        <f t="shared" ref="P250:P252" ca="1" si="75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76">L253+L257</f>
        <v>0</v>
      </c>
      <c r="M251" s="157">
        <f t="shared" si="76"/>
        <v>0</v>
      </c>
      <c r="N251" s="157">
        <f t="shared" si="76"/>
        <v>0</v>
      </c>
      <c r="O251" s="156">
        <f t="shared" si="74"/>
        <v>0</v>
      </c>
      <c r="P251" s="156">
        <f t="shared" si="75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77">L254+L258</f>
        <v>0</v>
      </c>
      <c r="M252" s="157">
        <f t="shared" ca="1" si="77"/>
        <v>0</v>
      </c>
      <c r="N252" s="157">
        <f t="shared" ca="1" si="77"/>
        <v>0</v>
      </c>
      <c r="O252" s="156">
        <f t="shared" ca="1" si="74"/>
        <v>0</v>
      </c>
      <c r="P252" s="156">
        <f t="shared" ca="1" si="75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IFERROR(__xludf.DUMMYFUNCTION("IMPORTRANGE(""https://docs.google.com/spreadsheets/d/1Yj_ptqi66GCucihVvJfMjLAmec39IyEx_6qawtMGysU/edit?usp=sharing"",""สบก!CB67"")"),0)</f>
        <v>0</v>
      </c>
      <c r="N254" s="169">
        <f ca="1">IFERROR(__xludf.DUMMYFUNCTION("IMPORTRANGE(""https://docs.google.com/spreadsheets/d/1Yj_ptqi66GCucihVvJfMjLAmec39IyEx_6qawtMGysU/edit?usp=sharing"",""สบก!CC67"")"),0)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IFERROR(__xludf.DUMMYFUNCTION("IMPORTRANGE(""https://docs.google.com/spreadsheets/d/1Yj_ptqi66GCucihVvJfMjLAmec39IyEx_6qawtMGysU/edit?usp=sharing"",""สบก!BX67"")"),0)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IFERROR(__xludf.DUMMYFUNCTION("IMPORTRANGE(""https://docs.google.com/spreadsheets/d/1Yj_ptqi66GCucihVvJfMjLAmec39IyEx_6qawtMGysU/edit?usp=sharing"",""สบก!BY67"")"),0)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IFERROR(__xludf.DUMMYFUNCTION("IMPORTRANGE(""https://docs.google.com/spreadsheets/d/1Yj_ptqi66GCucihVvJfMjLAmec39IyEx_6qawtMGysU/edit?usp=sharing"",""สบก!BZ67"")"),0)</f>
        <v>0</v>
      </c>
      <c r="M258" s="49"/>
      <c r="N258" s="49">
        <f ca="1">IFERROR(__xludf.DUMMYFUNCTION("IMPORTRANGE(""https://docs.google.com/spreadsheets/d/1Yj_ptqi66GCucihVvJfMjLAmec39IyEx_6qawtMGysU/edit?usp=sharing"",""สบก!CD67"")"),0)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IFERROR(__xludf.DUMMYFUNCTION("IMPORTRANGE(""https://docs.google.com/spreadsheets/d/1SX6NBoVAgQJ6U1MVXOaj8PK2l7WJ3RER9xtqwdhxkhw/edit?usp=sharing"",""ปทุมธานี!J175"")"),0)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IFERROR(__xludf.DUMMYFUNCTION("IMPORTRANGE(""https://docs.google.com/spreadsheets/d/1SX6NBoVAgQJ6U1MVXOaj8PK2l7WJ3RER9xtqwdhxkhw/edit?usp=sharing"",""ปทุมธานี!J176"")"),0)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IFERROR(__xludf.DUMMYFUNCTION("IMPORTRANGE(""https://docs.google.com/spreadsheets/d/1SX6NBoVAgQJ6U1MVXOaj8PK2l7WJ3RER9xtqwdhxkhw/edit?usp=sharing"",""ปทุมธานี!J177"")"),0)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IFERROR(__xludf.DUMMYFUNCTION("IMPORTRANGE(""https://docs.google.com/spreadsheets/d/1SX6NBoVAgQJ6U1MVXOaj8PK2l7WJ3RER9xtqwdhxkhw/edit?usp=sharing"",""ปทุมธานี!J178"")"),0)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IFERROR(__xludf.DUMMYFUNCTION("IMPORTRANGE(""https://docs.google.com/spreadsheets/d/1SX6NBoVAgQJ6U1MVXOaj8PK2l7WJ3RER9xtqwdhxkhw/edit?usp=sharing"",""ปทุมธานี!I179"")"),0)</f>
        <v>0</v>
      </c>
      <c r="J264" s="189">
        <f ca="1">IFERROR(__xludf.DUMMYFUNCTION("IMPORTRANGE(""https://docs.google.com/spreadsheets/d/1SX6NBoVAgQJ6U1MVXOaj8PK2l7WJ3RER9xtqwdhxkhw/edit?usp=sharing"",""ปทุมธานี!J179"")"),0)</f>
        <v>0</v>
      </c>
      <c r="K264" s="163">
        <f t="shared" ref="K264:K267" ca="1" si="78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IFERROR(__xludf.DUMMYFUNCTION("IMPORTRANGE(""https://docs.google.com/spreadsheets/d/1SX6NBoVAgQJ6U1MVXOaj8PK2l7WJ3RER9xtqwdhxkhw/edit?usp=sharing"",""ปทุมธานี!I180"")"),0)</f>
        <v>0</v>
      </c>
      <c r="J265" s="189">
        <f ca="1">IFERROR(__xludf.DUMMYFUNCTION("IMPORTRANGE(""https://docs.google.com/spreadsheets/d/1SX6NBoVAgQJ6U1MVXOaj8PK2l7WJ3RER9xtqwdhxkhw/edit?usp=sharing"",""ปทุมธานี!J180"")"),0)</f>
        <v>0</v>
      </c>
      <c r="K265" s="163">
        <f t="shared" ca="1" si="78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IFERROR(__xludf.DUMMYFUNCTION("IMPORTRANGE(""https://docs.google.com/spreadsheets/d/1SX6NBoVAgQJ6U1MVXOaj8PK2l7WJ3RER9xtqwdhxkhw/edit?usp=sharing"",""ปทุมธานี!I181"")"),0)</f>
        <v>0</v>
      </c>
      <c r="J266" s="189">
        <f ca="1">IFERROR(__xludf.DUMMYFUNCTION("IMPORTRANGE(""https://docs.google.com/spreadsheets/d/1SX6NBoVAgQJ6U1MVXOaj8PK2l7WJ3RER9xtqwdhxkhw/edit?usp=sharing"",""ปทุมธานี!J181"")"),0)</f>
        <v>0</v>
      </c>
      <c r="K266" s="163">
        <f t="shared" ca="1" si="78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IFERROR(__xludf.DUMMYFUNCTION("IMPORTRANGE(""https://docs.google.com/spreadsheets/d/1SX6NBoVAgQJ6U1MVXOaj8PK2l7WJ3RER9xtqwdhxkhw/edit?usp=sharing"",""ปทุมธานี!I182"")"),0)</f>
        <v>0</v>
      </c>
      <c r="J267" s="189">
        <f ca="1">IFERROR(__xludf.DUMMYFUNCTION("IMPORTRANGE(""https://docs.google.com/spreadsheets/d/1SX6NBoVAgQJ6U1MVXOaj8PK2l7WJ3RER9xtqwdhxkhw/edit?usp=sharing"",""ปทุมธานี!J182"")"),0)</f>
        <v>0</v>
      </c>
      <c r="K267" s="163">
        <f t="shared" ca="1" si="78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IFERROR(__xludf.DUMMYFUNCTION("IMPORTRANGE(""https://docs.google.com/spreadsheets/d/1SX6NBoVAgQJ6U1MVXOaj8PK2l7WJ3RER9xtqwdhxkhw/edit?usp=sharing"",""ปทุมธานี!J183"")"),0)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IFERROR(__xludf.DUMMYFUNCTION("IMPORTRANGE(""https://docs.google.com/spreadsheets/d/1SX6NBoVAgQJ6U1MVXOaj8PK2l7WJ3RER9xtqwdhxkhw/edit?usp=sharing"",""ปทุมธานี!J184"")"),0)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IFERROR(__xludf.DUMMYFUNCTION("IMPORTRANGE(""https://docs.google.com/spreadsheets/d/1SX6NBoVAgQJ6U1MVXOaj8PK2l7WJ3RER9xtqwdhxkhw/edit?usp=sharing"",""ปทุมธานี!I185"")"),15)</f>
        <v>15</v>
      </c>
      <c r="J270" s="316">
        <f ca="1">IFERROR(__xludf.DUMMYFUNCTION("IMPORTRANGE(""https://docs.google.com/spreadsheets/d/1SX6NBoVAgQJ6U1MVXOaj8PK2l7WJ3RER9xtqwdhxkhw/edit?usp=sharing"",""ปทุมธานี!J185"")"),15)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79">L272+L273</f>
        <v>55200</v>
      </c>
      <c r="M271" s="152">
        <f t="shared" ca="1" si="79"/>
        <v>32250</v>
      </c>
      <c r="N271" s="152">
        <f t="shared" ca="1" si="79"/>
        <v>15700</v>
      </c>
      <c r="O271" s="151">
        <f t="shared" ref="O271:O273" ca="1" si="80">IF(L271&gt;0,N271*100/L271,0)</f>
        <v>28.442028985507246</v>
      </c>
      <c r="P271" s="151">
        <f t="shared" ref="P271:P273" ca="1" si="81">IF(M271&gt;0,N271*100/M271,0)</f>
        <v>48.68217054263566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2">L274+L278</f>
        <v>0</v>
      </c>
      <c r="M272" s="157">
        <f t="shared" si="82"/>
        <v>0</v>
      </c>
      <c r="N272" s="157">
        <f t="shared" si="82"/>
        <v>0</v>
      </c>
      <c r="O272" s="156">
        <f t="shared" si="80"/>
        <v>0</v>
      </c>
      <c r="P272" s="156">
        <f t="shared" si="81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3">L275+L279</f>
        <v>55200</v>
      </c>
      <c r="M273" s="157">
        <f t="shared" ca="1" si="83"/>
        <v>32250</v>
      </c>
      <c r="N273" s="157">
        <f t="shared" ca="1" si="83"/>
        <v>15700</v>
      </c>
      <c r="O273" s="156">
        <f t="shared" ca="1" si="80"/>
        <v>28.442028985507246</v>
      </c>
      <c r="P273" s="156">
        <f t="shared" ca="1" si="81"/>
        <v>48.68217054263566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IFERROR(__xludf.DUMMYFUNCTION("IMPORTRANGE(""https://docs.google.com/spreadsheets/d/1Yj_ptqi66GCucihVvJfMjLAmec39IyEx_6qawtMGysU/edit?usp=sharing"",""สบก!CK67"")"),32250)</f>
        <v>32250</v>
      </c>
      <c r="N275" s="169">
        <f ca="1">IFERROR(__xludf.DUMMYFUNCTION("IMPORTRANGE(""https://docs.google.com/spreadsheets/d/1Yj_ptqi66GCucihVvJfMjLAmec39IyEx_6qawtMGysU/edit?usp=sharing"",""สบก!CL67"")"),15700)</f>
        <v>15700</v>
      </c>
      <c r="O275" s="169">
        <f ca="1">IF(L275&gt;0,N275*100/L275,0)</f>
        <v>28.442028985507246</v>
      </c>
      <c r="P275" s="169">
        <f ca="1">IF(M275&gt;0,N275*100/M275,0)</f>
        <v>48.68217054263566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IFERROR(__xludf.DUMMYFUNCTION("IMPORTRANGE(""https://docs.google.com/spreadsheets/d/1Yj_ptqi66GCucihVvJfMjLAmec39IyEx_6qawtMGysU/edit?usp=sharing"",""สบก!CG67"")"),0)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IFERROR(__xludf.DUMMYFUNCTION("IMPORTRANGE(""https://docs.google.com/spreadsheets/d/1Yj_ptqi66GCucihVvJfMjLAmec39IyEx_6qawtMGysU/edit?usp=sharing"",""สบก!CH67"")"),55200)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IFERROR(__xludf.DUMMYFUNCTION("IMPORTRANGE(""https://docs.google.com/spreadsheets/d/1Yj_ptqi66GCucihVvJfMjLAmec39IyEx_6qawtMGysU/edit?usp=sharing"",""สบก!CI67"")"),0)</f>
        <v>0</v>
      </c>
      <c r="M279" s="49"/>
      <c r="N279" s="49">
        <f ca="1">IFERROR(__xludf.DUMMYFUNCTION("IMPORTRANGE(""https://docs.google.com/spreadsheets/d/1Yj_ptqi66GCucihVvJfMjLAmec39IyEx_6qawtMGysU/edit?usp=sharing"",""สบก!CM67"")"),0)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IFERROR(__xludf.DUMMYFUNCTION("IMPORTRANGE(""https://docs.google.com/spreadsheets/d/1SX6NBoVAgQJ6U1MVXOaj8PK2l7WJ3RER9xtqwdhxkhw/edit?usp=sharing"",""ปทุมธานี!J191"")"),0)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IFERROR(__xludf.DUMMYFUNCTION("IMPORTRANGE(""https://docs.google.com/spreadsheets/d/1SX6NBoVAgQJ6U1MVXOaj8PK2l7WJ3RER9xtqwdhxkhw/edit?usp=sharing"",""ปทุมธานี!J192"")"),1)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IFERROR(__xludf.DUMMYFUNCTION("IMPORTRANGE(""https://docs.google.com/spreadsheets/d/1SX6NBoVAgQJ6U1MVXOaj8PK2l7WJ3RER9xtqwdhxkhw/edit?usp=sharing"",""ปทุมธานี!J193"")"),1)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IFERROR(__xludf.DUMMYFUNCTION("IMPORTRANGE(""https://docs.google.com/spreadsheets/d/1SX6NBoVAgQJ6U1MVXOaj8PK2l7WJ3RER9xtqwdhxkhw/edit?usp=sharing"",""ปทุมธานี!J194"")"),1)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IFERROR(__xludf.DUMMYFUNCTION("IMPORTRANGE(""https://docs.google.com/spreadsheets/d/1SX6NBoVAgQJ6U1MVXOaj8PK2l7WJ3RER9xtqwdhxkhw/edit?usp=sharing"",""ปทุมธานี!I195"")"),15)</f>
        <v>15</v>
      </c>
      <c r="J285" s="189">
        <f ca="1">IFERROR(__xludf.DUMMYFUNCTION("IMPORTRANGE(""https://docs.google.com/spreadsheets/d/1SX6NBoVAgQJ6U1MVXOaj8PK2l7WJ3RER9xtqwdhxkhw/edit?usp=sharing"",""ปทุมธานี!J195"")"),15)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IFERROR(__xludf.DUMMYFUNCTION("IMPORTRANGE(""https://docs.google.com/spreadsheets/d/1SX6NBoVAgQJ6U1MVXOaj8PK2l7WJ3RER9xtqwdhxkhw/edit?usp=sharing"",""ปทุมธานี!J196"")"),0)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IFERROR(__xludf.DUMMYFUNCTION("IMPORTRANGE(""https://docs.google.com/spreadsheets/d/1SX6NBoVAgQJ6U1MVXOaj8PK2l7WJ3RER9xtqwdhxkhw/edit?usp=sharing"",""ปทุมธานี!J197"")"),0)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IFERROR(__xludf.DUMMYFUNCTION("IMPORTRANGE(""https://docs.google.com/spreadsheets/d/1SX6NBoVAgQJ6U1MVXOaj8PK2l7WJ3RER9xtqwdhxkhw/edit?usp=sharing"",""ปทุมธานี!I199"")"),0)</f>
        <v>0</v>
      </c>
      <c r="J289" s="316">
        <f ca="1">IFERROR(__xludf.DUMMYFUNCTION("IMPORTRANGE(""https://docs.google.com/spreadsheets/d/1SX6NBoVAgQJ6U1MVXOaj8PK2l7WJ3RER9xtqwdhxkhw/edit?usp=sharing"",""ปทุมธานี!J199"")"),0)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4">L291+L292</f>
        <v>0</v>
      </c>
      <c r="M290" s="152">
        <f t="shared" ca="1" si="84"/>
        <v>0</v>
      </c>
      <c r="N290" s="152">
        <f t="shared" ca="1" si="84"/>
        <v>0</v>
      </c>
      <c r="O290" s="151">
        <f t="shared" ref="O290:O292" ca="1" si="85">IF(L290&gt;0,N290*100/L290,0)</f>
        <v>0</v>
      </c>
      <c r="P290" s="151">
        <f t="shared" ref="P290:P292" ca="1" si="86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87">L293+L297</f>
        <v>0</v>
      </c>
      <c r="M291" s="157">
        <f t="shared" si="87"/>
        <v>0</v>
      </c>
      <c r="N291" s="157">
        <f t="shared" si="87"/>
        <v>0</v>
      </c>
      <c r="O291" s="156">
        <f t="shared" si="85"/>
        <v>0</v>
      </c>
      <c r="P291" s="156">
        <f t="shared" si="86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88">L294+L298</f>
        <v>0</v>
      </c>
      <c r="M292" s="157">
        <f t="shared" ca="1" si="88"/>
        <v>0</v>
      </c>
      <c r="N292" s="157">
        <f t="shared" ca="1" si="88"/>
        <v>0</v>
      </c>
      <c r="O292" s="156">
        <f t="shared" ca="1" si="85"/>
        <v>0</v>
      </c>
      <c r="P292" s="156">
        <f t="shared" ca="1" si="86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IFERROR(__xludf.DUMMYFUNCTION("IMPORTRANGE(""https://docs.google.com/spreadsheets/d/1Yj_ptqi66GCucihVvJfMjLAmec39IyEx_6qawtMGysU/edit?usp=sharing"",""สบก!CT67"")"),0)</f>
        <v>0</v>
      </c>
      <c r="N294" s="169">
        <f ca="1">IFERROR(__xludf.DUMMYFUNCTION("IMPORTRANGE(""https://docs.google.com/spreadsheets/d/1Yj_ptqi66GCucihVvJfMjLAmec39IyEx_6qawtMGysU/edit?usp=sharing"",""สบก!CU67"")"),0)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IFERROR(__xludf.DUMMYFUNCTION("IMPORTRANGE(""https://docs.google.com/spreadsheets/d/1Yj_ptqi66GCucihVvJfMjLAmec39IyEx_6qawtMGysU/edit?usp=sharing"",""สบก!CP67"")"),0)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IFERROR(__xludf.DUMMYFUNCTION("IMPORTRANGE(""https://docs.google.com/spreadsheets/d/1Yj_ptqi66GCucihVvJfMjLAmec39IyEx_6qawtMGysU/edit?usp=sharing"",""สบก!CQ67"")"),0)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IFERROR(__xludf.DUMMYFUNCTION("IMPORTRANGE(""https://docs.google.com/spreadsheets/d/1Yj_ptqi66GCucihVvJfMjLAmec39IyEx_6qawtMGysU/edit?usp=sharing"",""สบก!CR67"")"),0)</f>
        <v>0</v>
      </c>
      <c r="M298" s="49"/>
      <c r="N298" s="49">
        <f ca="1">IFERROR(__xludf.DUMMYFUNCTION("IMPORTRANGE(""https://docs.google.com/spreadsheets/d/1Yj_ptqi66GCucihVvJfMjLAmec39IyEx_6qawtMGysU/edit?usp=sharing"",""สบก!CV67"")"),0)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IFERROR(__xludf.DUMMYFUNCTION("IMPORTRANGE(""https://docs.google.com/spreadsheets/d/1SX6NBoVAgQJ6U1MVXOaj8PK2l7WJ3RER9xtqwdhxkhw/edit?usp=sharing"",""ปทุมธานี!J205"")"),0)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IFERROR(__xludf.DUMMYFUNCTION("IMPORTRANGE(""https://docs.google.com/spreadsheets/d/1SX6NBoVAgQJ6U1MVXOaj8PK2l7WJ3RER9xtqwdhxkhw/edit?usp=sharing"",""ปทุมธานี!J206"")"),0)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IFERROR(__xludf.DUMMYFUNCTION("IMPORTRANGE(""https://docs.google.com/spreadsheets/d/1SX6NBoVAgQJ6U1MVXOaj8PK2l7WJ3RER9xtqwdhxkhw/edit?usp=sharing"",""ปทุมธานี!J207"")"),0)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IFERROR(__xludf.DUMMYFUNCTION("IMPORTRANGE(""https://docs.google.com/spreadsheets/d/1SX6NBoVAgQJ6U1MVXOaj8PK2l7WJ3RER9xtqwdhxkhw/edit?usp=sharing"",""ปทุมธานี!J208"")"),0)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IFERROR(__xludf.DUMMYFUNCTION("IMPORTRANGE(""https://docs.google.com/spreadsheets/d/1SX6NBoVAgQJ6U1MVXOaj8PK2l7WJ3RER9xtqwdhxkhw/edit?usp=sharing"",""ปทุมธานี!I209"")"),0)</f>
        <v>0</v>
      </c>
      <c r="J304" s="204">
        <f ca="1">IFERROR(__xludf.DUMMYFUNCTION("IMPORTRANGE(""https://docs.google.com/spreadsheets/d/1SX6NBoVAgQJ6U1MVXOaj8PK2l7WJ3RER9xtqwdhxkhw/edit?usp=sharing"",""ปทุมธานี!J209"")"),0)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IFERROR(__xludf.DUMMYFUNCTION("IMPORTRANGE(""https://docs.google.com/spreadsheets/d/1SX6NBoVAgQJ6U1MVXOaj8PK2l7WJ3RER9xtqwdhxkhw/edit?usp=sharing"",""ปทุมธานี!I211"")"),0)</f>
        <v>0</v>
      </c>
      <c r="J306" s="204">
        <f ca="1">IFERROR(__xludf.DUMMYFUNCTION("IMPORTRANGE(""https://docs.google.com/spreadsheets/d/1SX6NBoVAgQJ6U1MVXOaj8PK2l7WJ3RER9xtqwdhxkhw/edit?usp=sharing"",""ปทุมธานี!J211"")"),0)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IFERROR(__xludf.DUMMYFUNCTION("IMPORTRANGE(""https://docs.google.com/spreadsheets/d/1SX6NBoVAgQJ6U1MVXOaj8PK2l7WJ3RER9xtqwdhxkhw/edit?usp=sharing"",""ปทุมธานี!J212"")"),0)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IFERROR(__xludf.DUMMYFUNCTION("IMPORTRANGE(""https://docs.google.com/spreadsheets/d/1SX6NBoVAgQJ6U1MVXOaj8PK2l7WJ3RER9xtqwdhxkhw/edit?usp=sharing"",""ปทุมธานี!J213"")"),0)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IFERROR(__xludf.DUMMYFUNCTION("IMPORTRANGE(""https://docs.google.com/spreadsheets/d/1SX6NBoVAgQJ6U1MVXOaj8PK2l7WJ3RER9xtqwdhxkhw/edit?usp=sharing"",""ปทุมธานี!I214"")"),0)</f>
        <v>0</v>
      </c>
      <c r="J309" s="333">
        <f ca="1">IFERROR(__xludf.DUMMYFUNCTION("IMPORTRANGE(""https://docs.google.com/spreadsheets/d/1SX6NBoVAgQJ6U1MVXOaj8PK2l7WJ3RER9xtqwdhxkhw/edit?usp=sharing"",""ปทุมธานี!J214"")"),0)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89">L311+L312</f>
        <v>0</v>
      </c>
      <c r="M310" s="152">
        <f t="shared" ca="1" si="89"/>
        <v>0</v>
      </c>
      <c r="N310" s="152">
        <f t="shared" ca="1" si="89"/>
        <v>0</v>
      </c>
      <c r="O310" s="151">
        <f t="shared" ref="O310:O312" ca="1" si="90">IF(L310&gt;0,N310*100/L310,0)</f>
        <v>0</v>
      </c>
      <c r="P310" s="151">
        <f t="shared" ref="P310:P312" ca="1" si="91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2">L313+L317</f>
        <v>0</v>
      </c>
      <c r="M311" s="157">
        <f t="shared" si="92"/>
        <v>0</v>
      </c>
      <c r="N311" s="157">
        <f t="shared" si="92"/>
        <v>0</v>
      </c>
      <c r="O311" s="156">
        <f t="shared" si="90"/>
        <v>0</v>
      </c>
      <c r="P311" s="156">
        <f t="shared" si="91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3">L314+L318</f>
        <v>0</v>
      </c>
      <c r="M312" s="157">
        <f t="shared" ca="1" si="93"/>
        <v>0</v>
      </c>
      <c r="N312" s="157">
        <f t="shared" ca="1" si="93"/>
        <v>0</v>
      </c>
      <c r="O312" s="156">
        <f t="shared" ca="1" si="90"/>
        <v>0</v>
      </c>
      <c r="P312" s="156">
        <f t="shared" ca="1" si="91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IFERROR(__xludf.DUMMYFUNCTION("IMPORTRANGE(""https://docs.google.com/spreadsheets/d/1Yj_ptqi66GCucihVvJfMjLAmec39IyEx_6qawtMGysU/edit?usp=sharing"",""สบก!DC67"")"),0)</f>
        <v>0</v>
      </c>
      <c r="N314" s="169">
        <f ca="1">IFERROR(__xludf.DUMMYFUNCTION("IMPORTRANGE(""https://docs.google.com/spreadsheets/d/1Yj_ptqi66GCucihVvJfMjLAmec39IyEx_6qawtMGysU/edit?usp=sharing"",""สบก!DD67"")"),0)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IFERROR(__xludf.DUMMYFUNCTION("IMPORTRANGE(""https://docs.google.com/spreadsheets/d/1Yj_ptqi66GCucihVvJfMjLAmec39IyEx_6qawtMGysU/edit?usp=sharing"",""สบก!CY67"")"),0)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IFERROR(__xludf.DUMMYFUNCTION("IMPORTRANGE(""https://docs.google.com/spreadsheets/d/1Yj_ptqi66GCucihVvJfMjLAmec39IyEx_6qawtMGysU/edit?usp=sharing"",""สบก!CZ67"")"),0)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IFERROR(__xludf.DUMMYFUNCTION("IMPORTRANGE(""https://docs.google.com/spreadsheets/d/1Yj_ptqi66GCucihVvJfMjLAmec39IyEx_6qawtMGysU/edit?usp=sharing"",""สบก!DA67"")"),0)</f>
        <v>0</v>
      </c>
      <c r="M318" s="49"/>
      <c r="N318" s="49">
        <f ca="1">IFERROR(__xludf.DUMMYFUNCTION("IMPORTRANGE(""https://docs.google.com/spreadsheets/d/1Yj_ptqi66GCucihVvJfMjLAmec39IyEx_6qawtMGysU/edit?usp=sharing"",""สบก!DE67"")"),0)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IFERROR(__xludf.DUMMYFUNCTION("IMPORTRANGE(""https://docs.google.com/spreadsheets/d/1SX6NBoVAgQJ6U1MVXOaj8PK2l7WJ3RER9xtqwdhxkhw/edit?usp=sharing"",""ปทุมธานี!J220"")"),0)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IFERROR(__xludf.DUMMYFUNCTION("IMPORTRANGE(""https://docs.google.com/spreadsheets/d/1SX6NBoVAgQJ6U1MVXOaj8PK2l7WJ3RER9xtqwdhxkhw/edit?usp=sharing"",""ปทุมธานี!J221"")"),0)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IFERROR(__xludf.DUMMYFUNCTION("IMPORTRANGE(""https://docs.google.com/spreadsheets/d/1SX6NBoVAgQJ6U1MVXOaj8PK2l7WJ3RER9xtqwdhxkhw/edit?usp=sharing"",""ปทุมธานี!J222"")"),0)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IFERROR(__xludf.DUMMYFUNCTION("IMPORTRANGE(""https://docs.google.com/spreadsheets/d/1SX6NBoVAgQJ6U1MVXOaj8PK2l7WJ3RER9xtqwdhxkhw/edit?usp=sharing"",""ปทุมธานี!J223"")"),0)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IFERROR(__xludf.DUMMYFUNCTION("IMPORTRANGE(""https://docs.google.com/spreadsheets/d/1SX6NBoVAgQJ6U1MVXOaj8PK2l7WJ3RER9xtqwdhxkhw/edit?usp=sharing"",""ปทุมธานี!I224"")"),0)</f>
        <v>0</v>
      </c>
      <c r="J324" s="204">
        <f ca="1">IFERROR(__xludf.DUMMYFUNCTION("IMPORTRANGE(""https://docs.google.com/spreadsheets/d/1SX6NBoVAgQJ6U1MVXOaj8PK2l7WJ3RER9xtqwdhxkhw/edit?usp=sharing"",""ปทุมธานี!J224"")"),0)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IFERROR(__xludf.DUMMYFUNCTION("IMPORTRANGE(""https://docs.google.com/spreadsheets/d/1SX6NBoVAgQJ6U1MVXOaj8PK2l7WJ3RER9xtqwdhxkhw/edit?usp=sharing"",""ปทุมธานี!J225"")"),0)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IFERROR(__xludf.DUMMYFUNCTION("IMPORTRANGE(""https://docs.google.com/spreadsheets/d/1SX6NBoVAgQJ6U1MVXOaj8PK2l7WJ3RER9xtqwdhxkhw/edit?usp=sharing"",""ปทุมธานี!J226"")"),0)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IFERROR(__xludf.DUMMYFUNCTION("IMPORTRANGE(""https://docs.google.com/spreadsheets/d/1SX6NBoVAgQJ6U1MVXOaj8PK2l7WJ3RER9xtqwdhxkhw/edit?usp=sharing"",""ปทุมธานี!I228"")"),0)</f>
        <v>0</v>
      </c>
      <c r="J328" s="339">
        <f ca="1">IFERROR(__xludf.DUMMYFUNCTION("IMPORTRANGE(""https://docs.google.com/spreadsheets/d/1SX6NBoVAgQJ6U1MVXOaj8PK2l7WJ3RER9xtqwdhxkhw/edit?usp=sharing"",""ปทุมธานี!J228"")"),0)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4">L330+L331</f>
        <v>570980</v>
      </c>
      <c r="M329" s="152">
        <f t="shared" ca="1" si="94"/>
        <v>417690</v>
      </c>
      <c r="N329" s="152">
        <f t="shared" ca="1" si="94"/>
        <v>153673.34</v>
      </c>
      <c r="O329" s="151">
        <f t="shared" ref="O329:O331" ca="1" si="95">IF(L329&gt;0,N329*100/L329,0)</f>
        <v>26.91396196013871</v>
      </c>
      <c r="P329" s="151">
        <f t="shared" ref="P329:P331" ca="1" si="96">IF(M329&gt;0,N329*100/M329,0)</f>
        <v>36.791242308889366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97">L332+L336</f>
        <v>0</v>
      </c>
      <c r="M330" s="157">
        <f t="shared" si="97"/>
        <v>0</v>
      </c>
      <c r="N330" s="157">
        <f t="shared" si="97"/>
        <v>0</v>
      </c>
      <c r="O330" s="156">
        <f t="shared" si="95"/>
        <v>0</v>
      </c>
      <c r="P330" s="156">
        <f t="shared" si="96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98">L333+L337</f>
        <v>570980</v>
      </c>
      <c r="M331" s="157">
        <f t="shared" ca="1" si="98"/>
        <v>417690</v>
      </c>
      <c r="N331" s="157">
        <f t="shared" ca="1" si="98"/>
        <v>153673.34</v>
      </c>
      <c r="O331" s="156">
        <f t="shared" ca="1" si="95"/>
        <v>26.91396196013871</v>
      </c>
      <c r="P331" s="156">
        <f t="shared" ca="1" si="96"/>
        <v>36.791242308889366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570980</v>
      </c>
      <c r="M333" s="168">
        <f ca="1">IFERROR(__xludf.DUMMYFUNCTION("IMPORTRANGE(""https://docs.google.com/spreadsheets/d/1Yj_ptqi66GCucihVvJfMjLAmec39IyEx_6qawtMGysU/edit?usp=sharing"",""สบก!DL67"")"),417690)</f>
        <v>417690</v>
      </c>
      <c r="N333" s="169">
        <f ca="1">IFERROR(__xludf.DUMMYFUNCTION("IMPORTRANGE(""https://docs.google.com/spreadsheets/d/1Yj_ptqi66GCucihVvJfMjLAmec39IyEx_6qawtMGysU/edit?usp=sharing"",""สบก!DM67"")"),153673.34)</f>
        <v>153673.34</v>
      </c>
      <c r="O333" s="169">
        <f ca="1">IF(L333&gt;0,N333*100/L333,0)</f>
        <v>26.91396196013871</v>
      </c>
      <c r="P333" s="169">
        <f ca="1">IF(M333&gt;0,N333*100/M333,0)</f>
        <v>36.791242308889366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IFERROR(__xludf.DUMMYFUNCTION("IMPORTRANGE(""https://docs.google.com/spreadsheets/d/1Yj_ptqi66GCucihVvJfMjLAmec39IyEx_6qawtMGysU/edit?usp=sharing"",""สบก!DH67"")"),388800)</f>
        <v>388800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IFERROR(__xludf.DUMMYFUNCTION("IMPORTRANGE(""https://docs.google.com/spreadsheets/d/1Yj_ptqi66GCucihVvJfMjLAmec39IyEx_6qawtMGysU/edit?usp=sharing"",""สบก!DI67"")"),182180)</f>
        <v>182180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IFERROR(__xludf.DUMMYFUNCTION("IMPORTRANGE(""https://docs.google.com/spreadsheets/d/1Yj_ptqi66GCucihVvJfMjLAmec39IyEx_6qawtMGysU/edit?usp=sharing"",""สบก!DJ67"")"),0)</f>
        <v>0</v>
      </c>
      <c r="M337" s="49"/>
      <c r="N337" s="49">
        <f ca="1">IFERROR(__xludf.DUMMYFUNCTION("IMPORTRANGE(""https://docs.google.com/spreadsheets/d/1Yj_ptqi66GCucihVvJfMjLAmec39IyEx_6qawtMGysU/edit?usp=sharing"",""สบก!DN67"")"),0)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IFERROR(__xludf.DUMMYFUNCTION("IMPORTRANGE(""https://docs.google.com/spreadsheets/d/1SX6NBoVAgQJ6U1MVXOaj8PK2l7WJ3RER9xtqwdhxkhw/edit?usp=sharing"",""ปทุมธานี!I234"")"),0)</f>
        <v>0</v>
      </c>
      <c r="J339" s="188">
        <f ca="1">IFERROR(__xludf.DUMMYFUNCTION("IMPORTRANGE(""https://docs.google.com/spreadsheets/d/1SX6NBoVAgQJ6U1MVXOaj8PK2l7WJ3RER9xtqwdhxkhw/edit?usp=sharing"",""ปทุมธานี!J234"")"),0)</f>
        <v>0</v>
      </c>
      <c r="K339" s="342">
        <f t="shared" ref="K339:K346" ca="1" si="99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IFERROR(__xludf.DUMMYFUNCTION("IMPORTRANGE(""https://docs.google.com/spreadsheets/d/1SX6NBoVAgQJ6U1MVXOaj8PK2l7WJ3RER9xtqwdhxkhw/edit?usp=sharing"",""ปทุมธานี!I235"")"),0)</f>
        <v>0</v>
      </c>
      <c r="J340" s="188">
        <f ca="1">IFERROR(__xludf.DUMMYFUNCTION("IMPORTRANGE(""https://docs.google.com/spreadsheets/d/1SX6NBoVAgQJ6U1MVXOaj8PK2l7WJ3RER9xtqwdhxkhw/edit?usp=sharing"",""ปทุมธานี!J235"")"),0)</f>
        <v>0</v>
      </c>
      <c r="K340" s="342">
        <f t="shared" ca="1" si="99"/>
        <v>0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IFERROR(__xludf.DUMMYFUNCTION("IMPORTRANGE(""https://docs.google.com/spreadsheets/d/1SX6NBoVAgQJ6U1MVXOaj8PK2l7WJ3RER9xtqwdhxkhw/edit?usp=sharing"",""ปทุมธานี!I236"")"),0)</f>
        <v>0</v>
      </c>
      <c r="J341" s="188">
        <f ca="1">IFERROR(__xludf.DUMMYFUNCTION("IMPORTRANGE(""https://docs.google.com/spreadsheets/d/1SX6NBoVAgQJ6U1MVXOaj8PK2l7WJ3RER9xtqwdhxkhw/edit?usp=sharing"",""ปทุมธานี!J236"")"),0)</f>
        <v>0</v>
      </c>
      <c r="K341" s="342">
        <f t="shared" ca="1" si="99"/>
        <v>0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IFERROR(__xludf.DUMMYFUNCTION("IMPORTRANGE(""https://docs.google.com/spreadsheets/d/1SX6NBoVAgQJ6U1MVXOaj8PK2l7WJ3RER9xtqwdhxkhw/edit?usp=sharing"",""ปทุมธานี!I237"")"),0)</f>
        <v>0</v>
      </c>
      <c r="J342" s="188">
        <f ca="1">IFERROR(__xludf.DUMMYFUNCTION("IMPORTRANGE(""https://docs.google.com/spreadsheets/d/1SX6NBoVAgQJ6U1MVXOaj8PK2l7WJ3RER9xtqwdhxkhw/edit?usp=sharing"",""ปทุมธานี!J237"")"),0)</f>
        <v>0</v>
      </c>
      <c r="K342" s="342">
        <f t="shared" ca="1" si="99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IFERROR(__xludf.DUMMYFUNCTION("IMPORTRANGE(""https://docs.google.com/spreadsheets/d/1SX6NBoVAgQJ6U1MVXOaj8PK2l7WJ3RER9xtqwdhxkhw/edit?usp=sharing"",""ปทุมธานี!I238"")"),0)</f>
        <v>0</v>
      </c>
      <c r="J343" s="188">
        <f ca="1">IFERROR(__xludf.DUMMYFUNCTION("IMPORTRANGE(""https://docs.google.com/spreadsheets/d/1SX6NBoVAgQJ6U1MVXOaj8PK2l7WJ3RER9xtqwdhxkhw/edit?usp=sharing"",""ปทุมธานี!J238"")"),0)</f>
        <v>0</v>
      </c>
      <c r="K343" s="342">
        <f t="shared" ca="1" si="99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IFERROR(__xludf.DUMMYFUNCTION("IMPORTRANGE(""https://docs.google.com/spreadsheets/d/1SX6NBoVAgQJ6U1MVXOaj8PK2l7WJ3RER9xtqwdhxkhw/edit?usp=sharing"",""ปทุมธานี!I239"")"),0)</f>
        <v>0</v>
      </c>
      <c r="J344" s="188">
        <f ca="1">IFERROR(__xludf.DUMMYFUNCTION("IMPORTRANGE(""https://docs.google.com/spreadsheets/d/1SX6NBoVAgQJ6U1MVXOaj8PK2l7WJ3RER9xtqwdhxkhw/edit?usp=sharing"",""ปทุมธานี!J239"")"),0)</f>
        <v>0</v>
      </c>
      <c r="K344" s="342">
        <f t="shared" ca="1" si="99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IFERROR(__xludf.DUMMYFUNCTION("IMPORTRANGE(""https://docs.google.com/spreadsheets/d/1SX6NBoVAgQJ6U1MVXOaj8PK2l7WJ3RER9xtqwdhxkhw/edit?usp=sharing"",""ปทุมธานี!I240"")"),0)</f>
        <v>0</v>
      </c>
      <c r="J345" s="188">
        <f ca="1">IFERROR(__xludf.DUMMYFUNCTION("IMPORTRANGE(""https://docs.google.com/spreadsheets/d/1SX6NBoVAgQJ6U1MVXOaj8PK2l7WJ3RER9xtqwdhxkhw/edit?usp=sharing"",""ปทุมธานี!J240"")"),0)</f>
        <v>0</v>
      </c>
      <c r="K345" s="342">
        <f t="shared" ca="1" si="99"/>
        <v>0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IFERROR(__xludf.DUMMYFUNCTION("IMPORTRANGE(""https://docs.google.com/spreadsheets/d/1SX6NBoVAgQJ6U1MVXOaj8PK2l7WJ3RER9xtqwdhxkhw/edit?usp=sharing"",""ปทุมธานี!I241"")"),0)</f>
        <v>0</v>
      </c>
      <c r="J346" s="188">
        <f ca="1">IFERROR(__xludf.DUMMYFUNCTION("IMPORTRANGE(""https://docs.google.com/spreadsheets/d/1SX6NBoVAgQJ6U1MVXOaj8PK2l7WJ3RER9xtqwdhxkhw/edit?usp=sharing"",""ปทุมธานี!J241"")"),0)</f>
        <v>0</v>
      </c>
      <c r="K346" s="351">
        <f t="shared" ca="1" si="99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IFERROR(__xludf.DUMMYFUNCTION("IMPORTRANGE(""https://docs.google.com/spreadsheets/d/1SX6NBoVAgQJ6U1MVXOaj8PK2l7WJ3RER9xtqwdhxkhw/edit?usp=sharing"",""ปทุมธานี!L242"")"),565890)</f>
        <v>565890</v>
      </c>
      <c r="M347" s="358"/>
      <c r="N347" s="358">
        <f ca="1">IFERROR(__xludf.DUMMYFUNCTION("IMPORTRANGE(""https://docs.google.com/spreadsheets/d/1SX6NBoVAgQJ6U1MVXOaj8PK2l7WJ3RER9xtqwdhxkhw/edit?usp=sharing"",""ปทุมธานี!M242"")"),357283.03)</f>
        <v>357283.03</v>
      </c>
      <c r="O347" s="358">
        <f ca="1">+IF(L347&gt;0,N347*100/L347,0)</f>
        <v>63.136480588100163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IFERROR(__xludf.DUMMYFUNCTION("IMPORTRANGE(""https://docs.google.com/spreadsheets/d/1SX6NBoVAgQJ6U1MVXOaj8PK2l7WJ3RER9xtqwdhxkhw/edit?usp=sharing"",""ปทุมธานี!I244"")"),12)</f>
        <v>12</v>
      </c>
      <c r="J349" s="371">
        <f ca="1">IFERROR(__xludf.DUMMYFUNCTION("IMPORTRANGE(""https://docs.google.com/spreadsheets/d/1SX6NBoVAgQJ6U1MVXOaj8PK2l7WJ3RER9xtqwdhxkhw/edit?usp=sharing"",""ปทุมธานี!J244"")"),0)</f>
        <v>0</v>
      </c>
      <c r="K349" s="372">
        <f t="shared" ref="K349:K350" ca="1" si="100">IF(I349&gt;0,J349*100/I349,0)</f>
        <v>0</v>
      </c>
      <c r="L349" s="373">
        <f ca="1">IFERROR(__xludf.DUMMYFUNCTION("IMPORTRANGE(""https://docs.google.com/spreadsheets/d/1SX6NBoVAgQJ6U1MVXOaj8PK2l7WJ3RER9xtqwdhxkhw/edit?usp=sharing"",""ปทุมธานี!L244"")"),47160)</f>
        <v>47160</v>
      </c>
      <c r="M349" s="373"/>
      <c r="N349" s="373">
        <f ca="1">IFERROR(__xludf.DUMMYFUNCTION("IMPORTRANGE(""https://docs.google.com/spreadsheets/d/1SX6NBoVAgQJ6U1MVXOaj8PK2l7WJ3RER9xtqwdhxkhw/edit?usp=sharing"",""ปทุมธานี!M244"")"),22660.01)</f>
        <v>22660.01</v>
      </c>
      <c r="O349" s="373">
        <f ca="1">+IF(L349&gt;0,N349*100/L349,0)</f>
        <v>48.049215436810854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IFERROR(__xludf.DUMMYFUNCTION("IMPORTRANGE(""https://docs.google.com/spreadsheets/d/1SX6NBoVAgQJ6U1MVXOaj8PK2l7WJ3RER9xtqwdhxkhw/edit?usp=sharing"",""ปทุมธานี!I245"")"),6)</f>
        <v>6</v>
      </c>
      <c r="J350" s="371">
        <f ca="1">IFERROR(__xludf.DUMMYFUNCTION("IMPORTRANGE(""https://docs.google.com/spreadsheets/d/1SX6NBoVAgQJ6U1MVXOaj8PK2l7WJ3RER9xtqwdhxkhw/edit?usp=sharing"",""ปทุมธานี!J245"")"),6)</f>
        <v>6</v>
      </c>
      <c r="K350" s="372">
        <f t="shared" ca="1" si="100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IFERROR(__xludf.DUMMYFUNCTION("IMPORTRANGE(""https://docs.google.com/spreadsheets/d/1SX6NBoVAgQJ6U1MVXOaj8PK2l7WJ3RER9xtqwdhxkhw/edit?usp=sharing"",""ปทุมธานี!L246"")"),0)</f>
        <v>0</v>
      </c>
      <c r="M351" s="164"/>
      <c r="N351" s="164">
        <f ca="1">IFERROR(__xludf.DUMMYFUNCTION("IMPORTRANGE(""https://docs.google.com/spreadsheets/d/1SX6NBoVAgQJ6U1MVXOaj8PK2l7WJ3RER9xtqwdhxkhw/edit?usp=sharing"",""ปทุมธานี!M246"")"),0)</f>
        <v>0</v>
      </c>
      <c r="O351" s="165">
        <f t="shared" ref="O351:O354" ca="1" si="101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IFERROR(__xludf.DUMMYFUNCTION("IMPORTRANGE(""https://docs.google.com/spreadsheets/d/1SX6NBoVAgQJ6U1MVXOaj8PK2l7WJ3RER9xtqwdhxkhw/edit?usp=sharing"",""ปทุมธานี!L247"")"),47160)</f>
        <v>47160</v>
      </c>
      <c r="M352" s="165"/>
      <c r="N352" s="164">
        <f ca="1">IFERROR(__xludf.DUMMYFUNCTION("IMPORTRANGE(""https://docs.google.com/spreadsheets/d/1SX6NBoVAgQJ6U1MVXOaj8PK2l7WJ3RER9xtqwdhxkhw/edit?usp=sharing"",""ปทุมธานี!M247"")"),22660.01)</f>
        <v>22660.01</v>
      </c>
      <c r="O352" s="165">
        <f t="shared" ca="1" si="101"/>
        <v>48.049215436810854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IFERROR(__xludf.DUMMYFUNCTION("IMPORTRANGE(""https://docs.google.com/spreadsheets/d/1SX6NBoVAgQJ6U1MVXOaj8PK2l7WJ3RER9xtqwdhxkhw/edit?usp=sharing"",""ปทุมธานี!L248"")"),0)</f>
        <v>0</v>
      </c>
      <c r="M353" s="169"/>
      <c r="N353" s="169">
        <f ca="1">IFERROR(__xludf.DUMMYFUNCTION("IMPORTRANGE(""https://docs.google.com/spreadsheets/d/1SX6NBoVAgQJ6U1MVXOaj8PK2l7WJ3RER9xtqwdhxkhw/edit?usp=sharing"",""ปทุมธานี!M248"")"),0)</f>
        <v>0</v>
      </c>
      <c r="O353" s="169">
        <f t="shared" ca="1" si="101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IFERROR(__xludf.DUMMYFUNCTION("IMPORTRANGE(""https://docs.google.com/spreadsheets/d/1SX6NBoVAgQJ6U1MVXOaj8PK2l7WJ3RER9xtqwdhxkhw/edit?usp=sharing"",""ปทุมธานี!L249"")"),47160)</f>
        <v>47160</v>
      </c>
      <c r="M354" s="169"/>
      <c r="N354" s="168">
        <f ca="1">IFERROR(__xludf.DUMMYFUNCTION("IMPORTRANGE(""https://docs.google.com/spreadsheets/d/1SX6NBoVAgQJ6U1MVXOaj8PK2l7WJ3RER9xtqwdhxkhw/edit?usp=sharing"",""ปทุมธานี!M249"")"),22660.01)</f>
        <v>22660.01</v>
      </c>
      <c r="O354" s="169">
        <f t="shared" ca="1" si="101"/>
        <v>48.049215436810854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IFERROR(__xludf.DUMMYFUNCTION("IMPORTRANGE(""https://docs.google.com/spreadsheets/d/1SX6NBoVAgQJ6U1MVXOaj8PK2l7WJ3RER9xtqwdhxkhw/edit?usp=sharing"",""ปทุมธานี!M250"")"),12760.01)</f>
        <v>12760.01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IFERROR(__xludf.DUMMYFUNCTION("IMPORTRANGE(""https://docs.google.com/spreadsheets/d/1SX6NBoVAgQJ6U1MVXOaj8PK2l7WJ3RER9xtqwdhxkhw/edit?usp=sharing"",""ปทุมธานี!M251"")"),0)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IFERROR(__xludf.DUMMYFUNCTION("IMPORTRANGE(""https://docs.google.com/spreadsheets/d/1SX6NBoVAgQJ6U1MVXOaj8PK2l7WJ3RER9xtqwdhxkhw/edit?usp=sharing"",""ปทุมธานี!M252"")"),0)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IFERROR(__xludf.DUMMYFUNCTION("IMPORTRANGE(""https://docs.google.com/spreadsheets/d/1SX6NBoVAgQJ6U1MVXOaj8PK2l7WJ3RER9xtqwdhxkhw/edit?usp=sharing"",""ปทุมธานี!M253"")"),9900)</f>
        <v>9900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IFERROR(__xludf.DUMMYFUNCTION("IMPORTRANGE(""https://docs.google.com/spreadsheets/d/1SX6NBoVAgQJ6U1MVXOaj8PK2l7WJ3RER9xtqwdhxkhw/edit?usp=sharing"",""ปทุมธานี!J255"")"),0)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IFERROR(__xludf.DUMMYFUNCTION("IMPORTRANGE(""https://docs.google.com/spreadsheets/d/1SX6NBoVAgQJ6U1MVXOaj8PK2l7WJ3RER9xtqwdhxkhw/edit?usp=sharing"",""ปทุมธานี!J256"")"),1)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IFERROR(__xludf.DUMMYFUNCTION("IMPORTRANGE(""https://docs.google.com/spreadsheets/d/1SX6NBoVAgQJ6U1MVXOaj8PK2l7WJ3RER9xtqwdhxkhw/edit?usp=sharing"",""ปทุมธานี!J257"")"),1)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IFERROR(__xludf.DUMMYFUNCTION("IMPORTRANGE(""https://docs.google.com/spreadsheets/d/1SX6NBoVAgQJ6U1MVXOaj8PK2l7WJ3RER9xtqwdhxkhw/edit?usp=sharing"",""ปทุมธานี!J258"")"),1)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IFERROR(__xludf.DUMMYFUNCTION("IMPORTRANGE(""https://docs.google.com/spreadsheets/d/1SX6NBoVAgQJ6U1MVXOaj8PK2l7WJ3RER9xtqwdhxkhw/edit?usp=sharing"",""ปทุมธานี!J166"")"),0)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IFERROR(__xludf.DUMMYFUNCTION("IMPORTRANGE(""https://docs.google.com/spreadsheets/d/1SX6NBoVAgQJ6U1MVXOaj8PK2l7WJ3RER9xtqwdhxkhw/edit?usp=sharing"",""ปทุมธานี!J166"")"),0)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IFERROR(__xludf.DUMMYFUNCTION("IMPORTRANGE(""https://docs.google.com/spreadsheets/d/1SX6NBoVAgQJ6U1MVXOaj8PK2l7WJ3RER9xtqwdhxkhw/edit?usp=sharing"",""ปทุมธานี!J166"")"),0)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IFERROR(__xludf.DUMMYFUNCTION("IMPORTRANGE(""https://docs.google.com/spreadsheets/d/1SX6NBoVAgQJ6U1MVXOaj8PK2l7WJ3RER9xtqwdhxkhw/edit?usp=sharing"",""ปทุมธานี!J166"")"),0)</f>
        <v>0</v>
      </c>
      <c r="K367" s="163">
        <f t="shared" ref="K367:K373" ca="1" si="102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IFERROR(__xludf.DUMMYFUNCTION("IMPORTRANGE(""https://docs.google.com/spreadsheets/d/1SX6NBoVAgQJ6U1MVXOaj8PK2l7WJ3RER9xtqwdhxkhw/edit?usp=sharing"",""ปทุมธานี!I263"")"),6)</f>
        <v>6</v>
      </c>
      <c r="J368" s="188">
        <f ca="1">IFERROR(__xludf.DUMMYFUNCTION("IMPORTRANGE(""https://docs.google.com/spreadsheets/d/1SX6NBoVAgQJ6U1MVXOaj8PK2l7WJ3RER9xtqwdhxkhw/edit?usp=sharing"",""ปทุมธานี!J263"")"),6)</f>
        <v>6</v>
      </c>
      <c r="K368" s="163">
        <f t="shared" ca="1" si="102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IFERROR(__xludf.DUMMYFUNCTION("IMPORTRANGE(""https://docs.google.com/spreadsheets/d/1SX6NBoVAgQJ6U1MVXOaj8PK2l7WJ3RER9xtqwdhxkhw/edit?usp=sharing"",""ปทุมธานี!I164"")"),0)</f>
        <v>0</v>
      </c>
      <c r="J369" s="204">
        <f ca="1">IFERROR(__xludf.DUMMYFUNCTION("IMPORTRANGE(""https://docs.google.com/spreadsheets/d/1SX6NBoVAgQJ6U1MVXOaj8PK2l7WJ3RER9xtqwdhxkhw/edit?usp=sharing"",""ปทุมธานี!J164"")"),0)</f>
        <v>0</v>
      </c>
      <c r="K369" s="163">
        <f t="shared" ca="1" si="102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IFERROR(__xludf.DUMMYFUNCTION("IMPORTRANGE(""https://docs.google.com/spreadsheets/d/1SX6NBoVAgQJ6U1MVXOaj8PK2l7WJ3RER9xtqwdhxkhw/edit?usp=sharing"",""ปทุมธานี!I265"")"),6)</f>
        <v>6</v>
      </c>
      <c r="J370" s="204">
        <f ca="1">IFERROR(__xludf.DUMMYFUNCTION("IMPORTRANGE(""https://docs.google.com/spreadsheets/d/1SX6NBoVAgQJ6U1MVXOaj8PK2l7WJ3RER9xtqwdhxkhw/edit?usp=sharing"",""ปทุมธานี!J265"")"),0)</f>
        <v>0</v>
      </c>
      <c r="K370" s="163">
        <f t="shared" ca="1" si="102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IFERROR(__xludf.DUMMYFUNCTION("IMPORTRANGE(""https://docs.google.com/spreadsheets/d/1SX6NBoVAgQJ6U1MVXOaj8PK2l7WJ3RER9xtqwdhxkhw/edit?usp=sharing"",""ปทุมธานี!I164"")"),0)</f>
        <v>0</v>
      </c>
      <c r="J371" s="189">
        <f ca="1">IFERROR(__xludf.DUMMYFUNCTION("IMPORTRANGE(""https://docs.google.com/spreadsheets/d/1SX6NBoVAgQJ6U1MVXOaj8PK2l7WJ3RER9xtqwdhxkhw/edit?usp=sharing"",""ปทุมธานี!J164"")"),0)</f>
        <v>0</v>
      </c>
      <c r="K371" s="163">
        <f t="shared" ca="1" si="102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IFERROR(__xludf.DUMMYFUNCTION("IMPORTRANGE(""https://docs.google.com/spreadsheets/d/1SX6NBoVAgQJ6U1MVXOaj8PK2l7WJ3RER9xtqwdhxkhw/edit?usp=sharing"",""ปทุมธานี!I267"")"),6)</f>
        <v>6</v>
      </c>
      <c r="J372" s="189">
        <f ca="1">IFERROR(__xludf.DUMMYFUNCTION("IMPORTRANGE(""https://docs.google.com/spreadsheets/d/1SX6NBoVAgQJ6U1MVXOaj8PK2l7WJ3RER9xtqwdhxkhw/edit?usp=sharing"",""ปทุมธานี!J267"")"),6)</f>
        <v>6</v>
      </c>
      <c r="K372" s="163">
        <f t="shared" ca="1" si="102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IFERROR(__xludf.DUMMYFUNCTION("IMPORTRANGE(""https://docs.google.com/spreadsheets/d/1SX6NBoVAgQJ6U1MVXOaj8PK2l7WJ3RER9xtqwdhxkhw/edit?usp=sharing"",""ปทุมธานี!I164"")"),0)</f>
        <v>0</v>
      </c>
      <c r="J373" s="204">
        <f ca="1">IFERROR(__xludf.DUMMYFUNCTION("IMPORTRANGE(""https://docs.google.com/spreadsheets/d/1SX6NBoVAgQJ6U1MVXOaj8PK2l7WJ3RER9xtqwdhxkhw/edit?usp=sharing"",""ปทุมธานี!J164"")"),0)</f>
        <v>0</v>
      </c>
      <c r="K373" s="163">
        <f t="shared" ca="1" si="102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IFERROR(__xludf.DUMMYFUNCTION("IMPORTRANGE(""https://docs.google.com/spreadsheets/d/1SX6NBoVAgQJ6U1MVXOaj8PK2l7WJ3RER9xtqwdhxkhw/edit?usp=sharing"",""ปทุมธานี!I164"")"),0)</f>
        <v>0</v>
      </c>
      <c r="J374" s="188">
        <f ca="1">IFERROR(__xludf.DUMMYFUNCTION("IMPORTRANGE(""https://docs.google.com/spreadsheets/d/1SX6NBoVAgQJ6U1MVXOaj8PK2l7WJ3RER9xtqwdhxkhw/edit?usp=sharing"",""ปทุมธานี!J164"")"),0)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IFERROR(__xludf.DUMMYFUNCTION("IMPORTRANGE(""https://docs.google.com/spreadsheets/d/1SX6NBoVAgQJ6U1MVXOaj8PK2l7WJ3RER9xtqwdhxkhw/edit?usp=sharing"",""ปทุมธานี!I270"")"),12)</f>
        <v>12</v>
      </c>
      <c r="J375" s="188">
        <f ca="1">IFERROR(__xludf.DUMMYFUNCTION("IMPORTRANGE(""https://docs.google.com/spreadsheets/d/1SX6NBoVAgQJ6U1MVXOaj8PK2l7WJ3RER9xtqwdhxkhw/edit?usp=sharing"",""ปทุมธานี!J270"")"),0)</f>
        <v>0</v>
      </c>
      <c r="K375" s="163">
        <f t="shared" ref="K375:K377" ca="1" si="103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IFERROR(__xludf.DUMMYFUNCTION("IMPORTRANGE(""https://docs.google.com/spreadsheets/d/1SX6NBoVAgQJ6U1MVXOaj8PK2l7WJ3RER9xtqwdhxkhw/edit?usp=sharing"",""ปทุมธานี!I271"")"),12)</f>
        <v>12</v>
      </c>
      <c r="J376" s="189">
        <f ca="1">IFERROR(__xludf.DUMMYFUNCTION("IMPORTRANGE(""https://docs.google.com/spreadsheets/d/1SX6NBoVAgQJ6U1MVXOaj8PK2l7WJ3RER9xtqwdhxkhw/edit?usp=sharing"",""ปทุมธานี!J271"")"),0)</f>
        <v>0</v>
      </c>
      <c r="K376" s="163">
        <f t="shared" ca="1" si="103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IFERROR(__xludf.DUMMYFUNCTION("IMPORTRANGE(""https://docs.google.com/spreadsheets/d/1SX6NBoVAgQJ6U1MVXOaj8PK2l7WJ3RER9xtqwdhxkhw/edit?usp=sharing"",""ปทุมธานี!I272"")"),0)</f>
        <v>0</v>
      </c>
      <c r="J377" s="204">
        <f ca="1">IFERROR(__xludf.DUMMYFUNCTION("IMPORTRANGE(""https://docs.google.com/spreadsheets/d/1SX6NBoVAgQJ6U1MVXOaj8PK2l7WJ3RER9xtqwdhxkhw/edit?usp=sharing"",""ปทุมธานี!J272"")"),0)</f>
        <v>0</v>
      </c>
      <c r="K377" s="163">
        <f t="shared" ca="1" si="103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IFERROR(__xludf.DUMMYFUNCTION("IMPORTRANGE(""https://docs.google.com/spreadsheets/d/1SX6NBoVAgQJ6U1MVXOaj8PK2l7WJ3RER9xtqwdhxkhw/edit?usp=sharing"",""ปทุมธานี!J273"")"),0)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IFERROR(__xludf.DUMMYFUNCTION("IMPORTRANGE(""https://docs.google.com/spreadsheets/d/1SX6NBoVAgQJ6U1MVXOaj8PK2l7WJ3RER9xtqwdhxkhw/edit?usp=sharing"",""ปทุมธานี!J274"")"),0)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IFERROR(__xludf.DUMMYFUNCTION("IMPORTRANGE(""https://docs.google.com/spreadsheets/d/1SX6NBoVAgQJ6U1MVXOaj8PK2l7WJ3RER9xtqwdhxkhw/edit?usp=sharing"",""ปทุมธานี!I275"")"),50)</f>
        <v>50</v>
      </c>
      <c r="J380" s="371">
        <f ca="1">IFERROR(__xludf.DUMMYFUNCTION("IMPORTRANGE(""https://docs.google.com/spreadsheets/d/1SX6NBoVAgQJ6U1MVXOaj8PK2l7WJ3RER9xtqwdhxkhw/edit?usp=sharing"",""ปทุมธานี!J275"")"),0)</f>
        <v>0</v>
      </c>
      <c r="K380" s="372">
        <f t="shared" ref="K380:K381" ca="1" si="104">IF(I380&gt;0,J380*100/I380,0)</f>
        <v>0</v>
      </c>
      <c r="L380" s="373">
        <f ca="1">IFERROR(__xludf.DUMMYFUNCTION("IMPORTRANGE(""https://docs.google.com/spreadsheets/d/1SX6NBoVAgQJ6U1MVXOaj8PK2l7WJ3RER9xtqwdhxkhw/edit?usp=sharing"",""ปทุมธานี!L275"")"),87710)</f>
        <v>87710</v>
      </c>
      <c r="M380" s="373"/>
      <c r="N380" s="373">
        <f ca="1">IFERROR(__xludf.DUMMYFUNCTION("IMPORTRANGE(""https://docs.google.com/spreadsheets/d/1SX6NBoVAgQJ6U1MVXOaj8PK2l7WJ3RER9xtqwdhxkhw/edit?usp=sharing"",""ปทุมธานี!M275"")"),46559)</f>
        <v>46559</v>
      </c>
      <c r="O380" s="373">
        <f ca="1">+IF(L380&gt;0,N380*100/L380,0)</f>
        <v>53.082886785999314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IFERROR(__xludf.DUMMYFUNCTION("IMPORTRANGE(""https://docs.google.com/spreadsheets/d/1SX6NBoVAgQJ6U1MVXOaj8PK2l7WJ3RER9xtqwdhxkhw/edit?usp=sharing"",""ปทุมธานี!I276"")"),5)</f>
        <v>5</v>
      </c>
      <c r="J381" s="371">
        <f ca="1">IFERROR(__xludf.DUMMYFUNCTION("IMPORTRANGE(""https://docs.google.com/spreadsheets/d/1SX6NBoVAgQJ6U1MVXOaj8PK2l7WJ3RER9xtqwdhxkhw/edit?usp=sharing"",""ปทุมธานี!J276"")"),10)</f>
        <v>10</v>
      </c>
      <c r="K381" s="372">
        <f t="shared" ca="1" si="104"/>
        <v>200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IFERROR(__xludf.DUMMYFUNCTION("IMPORTRANGE(""https://docs.google.com/spreadsheets/d/1SX6NBoVAgQJ6U1MVXOaj8PK2l7WJ3RER9xtqwdhxkhw/edit?usp=sharing"",""ปทุมธานี!L277"")"),0)</f>
        <v>0</v>
      </c>
      <c r="M382" s="164"/>
      <c r="N382" s="164">
        <f ca="1">IFERROR(__xludf.DUMMYFUNCTION("IMPORTRANGE(""https://docs.google.com/spreadsheets/d/1SX6NBoVAgQJ6U1MVXOaj8PK2l7WJ3RER9xtqwdhxkhw/edit?usp=sharing"",""ปทุมธานี!M277"")"),0)</f>
        <v>0</v>
      </c>
      <c r="O382" s="165">
        <f t="shared" ref="O382:O385" ca="1" si="105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IFERROR(__xludf.DUMMYFUNCTION("IMPORTRANGE(""https://docs.google.com/spreadsheets/d/1SX6NBoVAgQJ6U1MVXOaj8PK2l7WJ3RER9xtqwdhxkhw/edit?usp=sharing"",""ปทุมธานี!L278"")"),87710)</f>
        <v>87710</v>
      </c>
      <c r="M383" s="165"/>
      <c r="N383" s="165">
        <f ca="1">IFERROR(__xludf.DUMMYFUNCTION("IMPORTRANGE(""https://docs.google.com/spreadsheets/d/1SX6NBoVAgQJ6U1MVXOaj8PK2l7WJ3RER9xtqwdhxkhw/edit?usp=sharing"",""ปทุมธานี!M278"")"),46559)</f>
        <v>46559</v>
      </c>
      <c r="O383" s="165">
        <f t="shared" ca="1" si="105"/>
        <v>53.082886785999314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IFERROR(__xludf.DUMMYFUNCTION("IMPORTRANGE(""https://docs.google.com/spreadsheets/d/1SX6NBoVAgQJ6U1MVXOaj8PK2l7WJ3RER9xtqwdhxkhw/edit?usp=sharing"",""ปทุมธานี!L279"")"),0)</f>
        <v>0</v>
      </c>
      <c r="M384" s="169"/>
      <c r="N384" s="169">
        <f ca="1">IFERROR(__xludf.DUMMYFUNCTION("IMPORTRANGE(""https://docs.google.com/spreadsheets/d/1SX6NBoVAgQJ6U1MVXOaj8PK2l7WJ3RER9xtqwdhxkhw/edit?usp=sharing"",""ปทุมธานี!M279"")"),0)</f>
        <v>0</v>
      </c>
      <c r="O384" s="169">
        <f t="shared" ca="1" si="105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IFERROR(__xludf.DUMMYFUNCTION("IMPORTRANGE(""https://docs.google.com/spreadsheets/d/1SX6NBoVAgQJ6U1MVXOaj8PK2l7WJ3RER9xtqwdhxkhw/edit?usp=sharing"",""ปทุมธานี!L280"")"),87710)</f>
        <v>87710</v>
      </c>
      <c r="M385" s="169"/>
      <c r="N385" s="168">
        <f ca="1">IFERROR(__xludf.DUMMYFUNCTION("IMPORTRANGE(""https://docs.google.com/spreadsheets/d/1SX6NBoVAgQJ6U1MVXOaj8PK2l7WJ3RER9xtqwdhxkhw/edit?usp=sharing"",""ปทุมธานี!M280"")"),46559)</f>
        <v>46559</v>
      </c>
      <c r="O385" s="169">
        <f t="shared" ca="1" si="105"/>
        <v>53.082886785999314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IFERROR(__xludf.DUMMYFUNCTION("IMPORTRANGE(""https://docs.google.com/spreadsheets/d/1SX6NBoVAgQJ6U1MVXOaj8PK2l7WJ3RER9xtqwdhxkhw/edit?usp=sharing"",""ปทุมธานี!M281"")"),34409)</f>
        <v>34409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IFERROR(__xludf.DUMMYFUNCTION("IMPORTRANGE(""https://docs.google.com/spreadsheets/d/1SX6NBoVAgQJ6U1MVXOaj8PK2l7WJ3RER9xtqwdhxkhw/edit?usp=sharing"",""ปทุมธานี!M282"")"),0)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IFERROR(__xludf.DUMMYFUNCTION("IMPORTRANGE(""https://docs.google.com/spreadsheets/d/1SX6NBoVAgQJ6U1MVXOaj8PK2l7WJ3RER9xtqwdhxkhw/edit?usp=sharing"",""ปทุมธานี!M283"")"),0)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IFERROR(__xludf.DUMMYFUNCTION("IMPORTRANGE(""https://docs.google.com/spreadsheets/d/1SX6NBoVAgQJ6U1MVXOaj8PK2l7WJ3RER9xtqwdhxkhw/edit?usp=sharing"",""ปทุมธานี!M284"")"),12150)</f>
        <v>12150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IFERROR(__xludf.DUMMYFUNCTION("IMPORTRANGE(""https://docs.google.com/spreadsheets/d/1SX6NBoVAgQJ6U1MVXOaj8PK2l7WJ3RER9xtqwdhxkhw/edit?usp=sharing"",""ปทุมธานี!J286"")"),0)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IFERROR(__xludf.DUMMYFUNCTION("IMPORTRANGE(""https://docs.google.com/spreadsheets/d/1SX6NBoVAgQJ6U1MVXOaj8PK2l7WJ3RER9xtqwdhxkhw/edit?usp=sharing"",""ปทุมธานี!J287"")"),1)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IFERROR(__xludf.DUMMYFUNCTION("IMPORTRANGE(""https://docs.google.com/spreadsheets/d/1SX6NBoVAgQJ6U1MVXOaj8PK2l7WJ3RER9xtqwdhxkhw/edit?usp=sharing"",""ปทุมธานี!J288"")"),1)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IFERROR(__xludf.DUMMYFUNCTION("IMPORTRANGE(""https://docs.google.com/spreadsheets/d/1SX6NBoVAgQJ6U1MVXOaj8PK2l7WJ3RER9xtqwdhxkhw/edit?usp=sharing"",""ปทุมธานี!J289"")"),1)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IFERROR(__xludf.DUMMYFUNCTION("IMPORTRANGE(""https://docs.google.com/spreadsheets/d/1SX6NBoVAgQJ6U1MVXOaj8PK2l7WJ3RER9xtqwdhxkhw/edit?usp=sharing"",""ปทุมธานี!I291"")"),5)</f>
        <v>5</v>
      </c>
      <c r="J396" s="198">
        <f ca="1">IFERROR(__xludf.DUMMYFUNCTION("IMPORTRANGE(""https://docs.google.com/spreadsheets/d/1SX6NBoVAgQJ6U1MVXOaj8PK2l7WJ3RER9xtqwdhxkhw/edit?usp=sharing"",""ปทุมธานี!J291"")"),10)</f>
        <v>10</v>
      </c>
      <c r="K396" s="163">
        <f t="shared" ref="K396:K398" ca="1" si="106">IF(I396&gt;0,J396*100/I396,0)</f>
        <v>200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IFERROR(__xludf.DUMMYFUNCTION("IMPORTRANGE(""https://docs.google.com/spreadsheets/d/1SX6NBoVAgQJ6U1MVXOaj8PK2l7WJ3RER9xtqwdhxkhw/edit?usp=sharing"",""ปทุมธานี!I292"")"),50)</f>
        <v>50</v>
      </c>
      <c r="J397" s="198">
        <f ca="1">IFERROR(__xludf.DUMMYFUNCTION("IMPORTRANGE(""https://docs.google.com/spreadsheets/d/1SX6NBoVAgQJ6U1MVXOaj8PK2l7WJ3RER9xtqwdhxkhw/edit?usp=sharing"",""ปทุมธานี!J292"")"),0)</f>
        <v>0</v>
      </c>
      <c r="K397" s="163">
        <f t="shared" ca="1" si="106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IFERROR(__xludf.DUMMYFUNCTION("IMPORTRANGE(""https://docs.google.com/spreadsheets/d/1SX6NBoVAgQJ6U1MVXOaj8PK2l7WJ3RER9xtqwdhxkhw/edit?usp=sharing"",""ปทุมธานี!I293"")"),5)</f>
        <v>5</v>
      </c>
      <c r="J398" s="198">
        <f ca="1">IFERROR(__xludf.DUMMYFUNCTION("IMPORTRANGE(""https://docs.google.com/spreadsheets/d/1SX6NBoVAgQJ6U1MVXOaj8PK2l7WJ3RER9xtqwdhxkhw/edit?usp=sharing"",""ปทุมธานี!J293"")"),0)</f>
        <v>0</v>
      </c>
      <c r="K398" s="163">
        <f t="shared" ca="1" si="106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IFERROR(__xludf.DUMMYFUNCTION("IMPORTRANGE(""https://docs.google.com/spreadsheets/d/1SX6NBoVAgQJ6U1MVXOaj8PK2l7WJ3RER9xtqwdhxkhw/edit?usp=sharing"",""ปทุมธานี!J294"")"),0)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IFERROR(__xludf.DUMMYFUNCTION("IMPORTRANGE(""https://docs.google.com/spreadsheets/d/1SX6NBoVAgQJ6U1MVXOaj8PK2l7WJ3RER9xtqwdhxkhw/edit?usp=sharing"",""ปทุมธานี!J295"")"),0)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IFERROR(__xludf.DUMMYFUNCTION("IMPORTRANGE(""https://docs.google.com/spreadsheets/d/1SX6NBoVAgQJ6U1MVXOaj8PK2l7WJ3RER9xtqwdhxkhw/edit?usp=sharing"",""ปทุมธานี!I296"")"),135)</f>
        <v>135</v>
      </c>
      <c r="J401" s="371">
        <f ca="1">IFERROR(__xludf.DUMMYFUNCTION("IMPORTRANGE(""https://docs.google.com/spreadsheets/d/1SX6NBoVAgQJ6U1MVXOaj8PK2l7WJ3RER9xtqwdhxkhw/edit?usp=sharing"",""ปทุมธานี!J296"")"),0)</f>
        <v>0</v>
      </c>
      <c r="K401" s="372">
        <f t="shared" ref="K401:K402" ca="1" si="107">IF(I401&gt;0,J401*100/I401,0)</f>
        <v>0</v>
      </c>
      <c r="L401" s="373">
        <f ca="1">IFERROR(__xludf.DUMMYFUNCTION("IMPORTRANGE(""https://docs.google.com/spreadsheets/d/1SX6NBoVAgQJ6U1MVXOaj8PK2l7WJ3RER9xtqwdhxkhw/edit?usp=sharing"",""ปทุมธานี!L296"")"),187300)</f>
        <v>187300</v>
      </c>
      <c r="M401" s="373"/>
      <c r="N401" s="373">
        <f ca="1">IFERROR(__xludf.DUMMYFUNCTION("IMPORTRANGE(""https://docs.google.com/spreadsheets/d/1SX6NBoVAgQJ6U1MVXOaj8PK2l7WJ3RER9xtqwdhxkhw/edit?usp=sharing"",""ปทุมธานี!M296"")"),146880)</f>
        <v>146880</v>
      </c>
      <c r="O401" s="373">
        <f ca="1">+IF(L401&gt;0,N401*100/L401,0)</f>
        <v>78.419647624132409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IFERROR(__xludf.DUMMYFUNCTION("IMPORTRANGE(""https://docs.google.com/spreadsheets/d/1SX6NBoVAgQJ6U1MVXOaj8PK2l7WJ3RER9xtqwdhxkhw/edit?usp=sharing"",""ปทุมธานี!I297"")"),45)</f>
        <v>45</v>
      </c>
      <c r="J402" s="371">
        <f ca="1">IFERROR(__xludf.DUMMYFUNCTION("IMPORTRANGE(""https://docs.google.com/spreadsheets/d/1SX6NBoVAgQJ6U1MVXOaj8PK2l7WJ3RER9xtqwdhxkhw/edit?usp=sharing"",""ปทุมธานี!J297"")"),45)</f>
        <v>45</v>
      </c>
      <c r="K402" s="372">
        <f t="shared" ca="1" si="107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IFERROR(__xludf.DUMMYFUNCTION("IMPORTRANGE(""https://docs.google.com/spreadsheets/d/1SX6NBoVAgQJ6U1MVXOaj8PK2l7WJ3RER9xtqwdhxkhw/edit?usp=sharing"",""ปทุมธานี!L298"")"),0)</f>
        <v>0</v>
      </c>
      <c r="M403" s="164"/>
      <c r="N403" s="169">
        <f ca="1">IFERROR(__xludf.DUMMYFUNCTION("IMPORTRANGE(""https://docs.google.com/spreadsheets/d/1SX6NBoVAgQJ6U1MVXOaj8PK2l7WJ3RER9xtqwdhxkhw/edit?usp=sharing"",""ปทุมธานี!M298"")"),0)</f>
        <v>0</v>
      </c>
      <c r="O403" s="169">
        <f t="shared" ref="O403:O406" ca="1" si="108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IFERROR(__xludf.DUMMYFUNCTION("IMPORTRANGE(""https://docs.google.com/spreadsheets/d/1SX6NBoVAgQJ6U1MVXOaj8PK2l7WJ3RER9xtqwdhxkhw/edit?usp=sharing"",""ปทุมธานี!L299"")"),187300)</f>
        <v>187300</v>
      </c>
      <c r="M404" s="165"/>
      <c r="N404" s="169">
        <f ca="1">IFERROR(__xludf.DUMMYFUNCTION("IMPORTRANGE(""https://docs.google.com/spreadsheets/d/1SX6NBoVAgQJ6U1MVXOaj8PK2l7WJ3RER9xtqwdhxkhw/edit?usp=sharing"",""ปทุมธานี!M299"")"),146880)</f>
        <v>146880</v>
      </c>
      <c r="O404" s="169">
        <f t="shared" ca="1" si="108"/>
        <v>78.419647624132409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IFERROR(__xludf.DUMMYFUNCTION("IMPORTRANGE(""https://docs.google.com/spreadsheets/d/1SX6NBoVAgQJ6U1MVXOaj8PK2l7WJ3RER9xtqwdhxkhw/edit?usp=sharing"",""ปทุมธานี!L300"")"),0)</f>
        <v>0</v>
      </c>
      <c r="M405" s="169"/>
      <c r="N405" s="169">
        <f ca="1">IFERROR(__xludf.DUMMYFUNCTION("IMPORTRANGE(""https://docs.google.com/spreadsheets/d/1SX6NBoVAgQJ6U1MVXOaj8PK2l7WJ3RER9xtqwdhxkhw/edit?usp=sharing"",""ปทุมธานี!M300"")"),0)</f>
        <v>0</v>
      </c>
      <c r="O405" s="169">
        <f t="shared" ca="1" si="108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IFERROR(__xludf.DUMMYFUNCTION("IMPORTRANGE(""https://docs.google.com/spreadsheets/d/1SX6NBoVAgQJ6U1MVXOaj8PK2l7WJ3RER9xtqwdhxkhw/edit?usp=sharing"",""ปทุมธานี!L301"")"),187300)</f>
        <v>187300</v>
      </c>
      <c r="M406" s="169"/>
      <c r="N406" s="169">
        <f ca="1">IFERROR(__xludf.DUMMYFUNCTION("IMPORTRANGE(""https://docs.google.com/spreadsheets/d/1SX6NBoVAgQJ6U1MVXOaj8PK2l7WJ3RER9xtqwdhxkhw/edit?usp=sharing"",""ปทุมธานี!M301"")"),146880)</f>
        <v>146880</v>
      </c>
      <c r="O406" s="169">
        <f t="shared" ca="1" si="108"/>
        <v>78.419647624132409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IFERROR(__xludf.DUMMYFUNCTION("IMPORTRANGE(""https://docs.google.com/spreadsheets/d/1SX6NBoVAgQJ6U1MVXOaj8PK2l7WJ3RER9xtqwdhxkhw/edit?usp=sharing"",""ปทุมธานี!M302"")"),132780)</f>
        <v>132780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IFERROR(__xludf.DUMMYFUNCTION("IMPORTRANGE(""https://docs.google.com/spreadsheets/d/1SX6NBoVAgQJ6U1MVXOaj8PK2l7WJ3RER9xtqwdhxkhw/edit?usp=sharing"",""ปทุมธานี!M303"")"),0)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IFERROR(__xludf.DUMMYFUNCTION("IMPORTRANGE(""https://docs.google.com/spreadsheets/d/1SX6NBoVAgQJ6U1MVXOaj8PK2l7WJ3RER9xtqwdhxkhw/edit?usp=sharing"",""ปทุมธานี!M304"")"),0)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IFERROR(__xludf.DUMMYFUNCTION("IMPORTRANGE(""https://docs.google.com/spreadsheets/d/1SX6NBoVAgQJ6U1MVXOaj8PK2l7WJ3RER9xtqwdhxkhw/edit?usp=sharing"",""ปทุมธานี!M305"")"),14100)</f>
        <v>14100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IFERROR(__xludf.DUMMYFUNCTION("IMPORTRANGE(""https://docs.google.com/spreadsheets/d/1SX6NBoVAgQJ6U1MVXOaj8PK2l7WJ3RER9xtqwdhxkhw/edit?usp=sharing"",""ปทุมธานี!J307"")"),0)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IFERROR(__xludf.DUMMYFUNCTION("IMPORTRANGE(""https://docs.google.com/spreadsheets/d/1SX6NBoVAgQJ6U1MVXOaj8PK2l7WJ3RER9xtqwdhxkhw/edit?usp=sharing"",""ปทุมธานี!J308"")"),1)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IFERROR(__xludf.DUMMYFUNCTION("IMPORTRANGE(""https://docs.google.com/spreadsheets/d/1SX6NBoVAgQJ6U1MVXOaj8PK2l7WJ3RER9xtqwdhxkhw/edit?usp=sharing"",""ปทุมธานี!J309"")"),1)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IFERROR(__xludf.DUMMYFUNCTION("IMPORTRANGE(""https://docs.google.com/spreadsheets/d/1SX6NBoVAgQJ6U1MVXOaj8PK2l7WJ3RER9xtqwdhxkhw/edit?usp=sharing"",""ปทุมธานี!J310"")"),1)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IFERROR(__xludf.DUMMYFUNCTION("IMPORTRANGE(""https://docs.google.com/spreadsheets/d/1SX6NBoVAgQJ6U1MVXOaj8PK2l7WJ3RER9xtqwdhxkhw/edit?usp=sharing"",""ปทุมธานี!I311"")"),45)</f>
        <v>45</v>
      </c>
      <c r="J416" s="201">
        <f ca="1">IFERROR(__xludf.DUMMYFUNCTION("IMPORTRANGE(""https://docs.google.com/spreadsheets/d/1SX6NBoVAgQJ6U1MVXOaj8PK2l7WJ3RER9xtqwdhxkhw/edit?usp=sharing"",""ปทุมธานี!J311"")"),45)</f>
        <v>45</v>
      </c>
      <c r="K416" s="202">
        <f t="shared" ref="K416:K432" ca="1" si="109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IFERROR(__xludf.DUMMYFUNCTION("IMPORTRANGE(""https://docs.google.com/spreadsheets/d/1SX6NBoVAgQJ6U1MVXOaj8PK2l7WJ3RER9xtqwdhxkhw/edit?usp=sharing"",""ปทุมธานี!I312"")"),10)</f>
        <v>10</v>
      </c>
      <c r="J417" s="392">
        <f ca="1">IFERROR(__xludf.DUMMYFUNCTION("IMPORTRANGE(""https://docs.google.com/spreadsheets/d/1SX6NBoVAgQJ6U1MVXOaj8PK2l7WJ3RER9xtqwdhxkhw/edit?usp=sharing"",""ปทุมธานี!J312"")"),10)</f>
        <v>10</v>
      </c>
      <c r="K417" s="202">
        <f t="shared" ca="1" si="109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IFERROR(__xludf.DUMMYFUNCTION("IMPORTRANGE(""https://docs.google.com/spreadsheets/d/1SX6NBoVAgQJ6U1MVXOaj8PK2l7WJ3RER9xtqwdhxkhw/edit?usp=sharing"",""ปทุมธานี!I313"")"),30)</f>
        <v>30</v>
      </c>
      <c r="J418" s="393">
        <f ca="1">IFERROR(__xludf.DUMMYFUNCTION("IMPORTRANGE(""https://docs.google.com/spreadsheets/d/1SX6NBoVAgQJ6U1MVXOaj8PK2l7WJ3RER9xtqwdhxkhw/edit?usp=sharing"",""ปทุมธานี!J313"")"),0)</f>
        <v>0</v>
      </c>
      <c r="K418" s="202">
        <f t="shared" ca="1" si="109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IFERROR(__xludf.DUMMYFUNCTION("IMPORTRANGE(""https://docs.google.com/spreadsheets/d/1SX6NBoVAgQJ6U1MVXOaj8PK2l7WJ3RER9xtqwdhxkhw/edit?usp=sharing"",""ปทุมธานี!I314"")"),10)</f>
        <v>10</v>
      </c>
      <c r="J419" s="394">
        <f ca="1">IFERROR(__xludf.DUMMYFUNCTION("IMPORTRANGE(""https://docs.google.com/spreadsheets/d/1SX6NBoVAgQJ6U1MVXOaj8PK2l7WJ3RER9xtqwdhxkhw/edit?usp=sharing"",""ปทุมธานี!J314"")"),10)</f>
        <v>10</v>
      </c>
      <c r="K419" s="163">
        <f t="shared" ca="1" si="109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IFERROR(__xludf.DUMMYFUNCTION("IMPORTRANGE(""https://docs.google.com/spreadsheets/d/1SX6NBoVAgQJ6U1MVXOaj8PK2l7WJ3RER9xtqwdhxkhw/edit?usp=sharing"",""ปทุมธานี!I315"")"),10)</f>
        <v>10</v>
      </c>
      <c r="J420" s="394">
        <f ca="1">IFERROR(__xludf.DUMMYFUNCTION("IMPORTRANGE(""https://docs.google.com/spreadsheets/d/1SX6NBoVAgQJ6U1MVXOaj8PK2l7WJ3RER9xtqwdhxkhw/edit?usp=sharing"",""ปทุมธานี!J315"")"),10)</f>
        <v>10</v>
      </c>
      <c r="K420" s="288">
        <f t="shared" ca="1" si="109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IFERROR(__xludf.DUMMYFUNCTION("IMPORTRANGE(""https://docs.google.com/spreadsheets/d/1SX6NBoVAgQJ6U1MVXOaj8PK2l7WJ3RER9xtqwdhxkhw/edit?usp=sharing"",""ปทุมธานี!I316"")"),25)</f>
        <v>25</v>
      </c>
      <c r="J421" s="392">
        <f ca="1">IFERROR(__xludf.DUMMYFUNCTION("IMPORTRANGE(""https://docs.google.com/spreadsheets/d/1SX6NBoVAgQJ6U1MVXOaj8PK2l7WJ3RER9xtqwdhxkhw/edit?usp=sharing"",""ปทุมธานี!J316"")"),25)</f>
        <v>25</v>
      </c>
      <c r="K421" s="202">
        <f t="shared" ca="1" si="109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IFERROR(__xludf.DUMMYFUNCTION("IMPORTRANGE(""https://docs.google.com/spreadsheets/d/1SX6NBoVAgQJ6U1MVXOaj8PK2l7WJ3RER9xtqwdhxkhw/edit?usp=sharing"",""ปทุมธานี!I317"")"),75)</f>
        <v>75</v>
      </c>
      <c r="J422" s="393">
        <f ca="1">IFERROR(__xludf.DUMMYFUNCTION("IMPORTRANGE(""https://docs.google.com/spreadsheets/d/1SX6NBoVAgQJ6U1MVXOaj8PK2l7WJ3RER9xtqwdhxkhw/edit?usp=sharing"",""ปทุมธานี!J317"")"),0)</f>
        <v>0</v>
      </c>
      <c r="K422" s="202">
        <f t="shared" ca="1" si="109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IFERROR(__xludf.DUMMYFUNCTION("IMPORTRANGE(""https://docs.google.com/spreadsheets/d/1SX6NBoVAgQJ6U1MVXOaj8PK2l7WJ3RER9xtqwdhxkhw/edit?usp=sharing"",""ปทุมธานี!I318"")"),25)</f>
        <v>25</v>
      </c>
      <c r="J423" s="394">
        <f ca="1">IFERROR(__xludf.DUMMYFUNCTION("IMPORTRANGE(""https://docs.google.com/spreadsheets/d/1SX6NBoVAgQJ6U1MVXOaj8PK2l7WJ3RER9xtqwdhxkhw/edit?usp=sharing"",""ปทุมธานี!J318"")"),25)</f>
        <v>25</v>
      </c>
      <c r="K423" s="163">
        <f t="shared" ca="1" si="109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IFERROR(__xludf.DUMMYFUNCTION("IMPORTRANGE(""https://docs.google.com/spreadsheets/d/1SX6NBoVAgQJ6U1MVXOaj8PK2l7WJ3RER9xtqwdhxkhw/edit?usp=sharing"",""ปทุมธานี!I319"")"),25)</f>
        <v>25</v>
      </c>
      <c r="J424" s="394">
        <f ca="1">IFERROR(__xludf.DUMMYFUNCTION("IMPORTRANGE(""https://docs.google.com/spreadsheets/d/1SX6NBoVAgQJ6U1MVXOaj8PK2l7WJ3RER9xtqwdhxkhw/edit?usp=sharing"",""ปทุมธานี!J319"")"),25)</f>
        <v>25</v>
      </c>
      <c r="K424" s="163">
        <f t="shared" ca="1" si="109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IFERROR(__xludf.DUMMYFUNCTION("IMPORTRANGE(""https://docs.google.com/spreadsheets/d/1SX6NBoVAgQJ6U1MVXOaj8PK2l7WJ3RER9xtqwdhxkhw/edit?usp=sharing"",""ปทุมธานี!I320"")"),25)</f>
        <v>25</v>
      </c>
      <c r="J425" s="394">
        <f ca="1">IFERROR(__xludf.DUMMYFUNCTION("IMPORTRANGE(""https://docs.google.com/spreadsheets/d/1SX6NBoVAgQJ6U1MVXOaj8PK2l7WJ3RER9xtqwdhxkhw/edit?usp=sharing"",""ปทุมธานี!J320"")"),25)</f>
        <v>25</v>
      </c>
      <c r="K425" s="163">
        <f t="shared" ca="1" si="109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IFERROR(__xludf.DUMMYFUNCTION("IMPORTRANGE(""https://docs.google.com/spreadsheets/d/1SX6NBoVAgQJ6U1MVXOaj8PK2l7WJ3RER9xtqwdhxkhw/edit?usp=sharing"",""ปทุมธานี!I321"")"),10)</f>
        <v>10</v>
      </c>
      <c r="J426" s="392">
        <f ca="1">IFERROR(__xludf.DUMMYFUNCTION("IMPORTRANGE(""https://docs.google.com/spreadsheets/d/1SX6NBoVAgQJ6U1MVXOaj8PK2l7WJ3RER9xtqwdhxkhw/edit?usp=sharing"",""ปทุมธานี!J321"")"),10)</f>
        <v>10</v>
      </c>
      <c r="K426" s="202">
        <f t="shared" ca="1" si="109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IFERROR(__xludf.DUMMYFUNCTION("IMPORTRANGE(""https://docs.google.com/spreadsheets/d/1SX6NBoVAgQJ6U1MVXOaj8PK2l7WJ3RER9xtqwdhxkhw/edit?usp=sharing"",""ปทุมธานี!I322"")"),30)</f>
        <v>30</v>
      </c>
      <c r="J427" s="393">
        <f ca="1">IFERROR(__xludf.DUMMYFUNCTION("IMPORTRANGE(""https://docs.google.com/spreadsheets/d/1SX6NBoVAgQJ6U1MVXOaj8PK2l7WJ3RER9xtqwdhxkhw/edit?usp=sharing"",""ปทุมธานี!J322"")"),0)</f>
        <v>0</v>
      </c>
      <c r="K427" s="202">
        <f t="shared" ca="1" si="109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IFERROR(__xludf.DUMMYFUNCTION("IMPORTRANGE(""https://docs.google.com/spreadsheets/d/1SX6NBoVAgQJ6U1MVXOaj8PK2l7WJ3RER9xtqwdhxkhw/edit?usp=sharing"",""ปทุมธานี!I323"")"),10)</f>
        <v>10</v>
      </c>
      <c r="J428" s="394">
        <f ca="1">IFERROR(__xludf.DUMMYFUNCTION("IMPORTRANGE(""https://docs.google.com/spreadsheets/d/1SX6NBoVAgQJ6U1MVXOaj8PK2l7WJ3RER9xtqwdhxkhw/edit?usp=sharing"",""ปทุมธานี!J323"")"),10)</f>
        <v>10</v>
      </c>
      <c r="K428" s="163">
        <f t="shared" ca="1" si="109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IFERROR(__xludf.DUMMYFUNCTION("IMPORTRANGE(""https://docs.google.com/spreadsheets/d/1SX6NBoVAgQJ6U1MVXOaj8PK2l7WJ3RER9xtqwdhxkhw/edit?usp=sharing"",""ปทุมธานี!I324"")"),10)</f>
        <v>10</v>
      </c>
      <c r="J429" s="394">
        <f ca="1">IFERROR(__xludf.DUMMYFUNCTION("IMPORTRANGE(""https://docs.google.com/spreadsheets/d/1SX6NBoVAgQJ6U1MVXOaj8PK2l7WJ3RER9xtqwdhxkhw/edit?usp=sharing"",""ปทุมธานี!J324"")"),10)</f>
        <v>10</v>
      </c>
      <c r="K429" s="163">
        <f t="shared" ca="1" si="109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IFERROR(__xludf.DUMMYFUNCTION("IMPORTRANGE(""https://docs.google.com/spreadsheets/d/1SX6NBoVAgQJ6U1MVXOaj8PK2l7WJ3RER9xtqwdhxkhw/edit?usp=sharing"",""ปทุมธานี!I325"")"),35)</f>
        <v>35</v>
      </c>
      <c r="J430" s="392">
        <f ca="1">IFERROR(__xludf.DUMMYFUNCTION("IMPORTRANGE(""https://docs.google.com/spreadsheets/d/1SX6NBoVAgQJ6U1MVXOaj8PK2l7WJ3RER9xtqwdhxkhw/edit?usp=sharing"",""ปทุมธานี!J325"")"),0)</f>
        <v>0</v>
      </c>
      <c r="K430" s="202">
        <f t="shared" ca="1" si="109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IFERROR(__xludf.DUMMYFUNCTION("IMPORTRANGE(""https://docs.google.com/spreadsheets/d/1SX6NBoVAgQJ6U1MVXOaj8PK2l7WJ3RER9xtqwdhxkhw/edit?usp=sharing"",""ปทุมธานี!I326"")"),10)</f>
        <v>10</v>
      </c>
      <c r="J431" s="394">
        <f ca="1">IFERROR(__xludf.DUMMYFUNCTION("IMPORTRANGE(""https://docs.google.com/spreadsheets/d/1SX6NBoVAgQJ6U1MVXOaj8PK2l7WJ3RER9xtqwdhxkhw/edit?usp=sharing"",""ปทุมธานี!J326"")"),0)</f>
        <v>0</v>
      </c>
      <c r="K431" s="163">
        <f t="shared" ca="1" si="109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IFERROR(__xludf.DUMMYFUNCTION("IMPORTRANGE(""https://docs.google.com/spreadsheets/d/1SX6NBoVAgQJ6U1MVXOaj8PK2l7WJ3RER9xtqwdhxkhw/edit?usp=sharing"",""ปทุมธานี!I327"")"),25)</f>
        <v>25</v>
      </c>
      <c r="J432" s="394">
        <f ca="1">IFERROR(__xludf.DUMMYFUNCTION("IMPORTRANGE(""https://docs.google.com/spreadsheets/d/1SX6NBoVAgQJ6U1MVXOaj8PK2l7WJ3RER9xtqwdhxkhw/edit?usp=sharing"",""ปทุมธานี!J327"")"),0)</f>
        <v>0</v>
      </c>
      <c r="K432" s="163">
        <f t="shared" ca="1" si="109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IFERROR(__xludf.DUMMYFUNCTION("IMPORTRANGE(""https://docs.google.com/spreadsheets/d/1SX6NBoVAgQJ6U1MVXOaj8PK2l7WJ3RER9xtqwdhxkhw/edit?usp=sharing"",""ปทุมธานี!J328"")"),0)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IFERROR(__xludf.DUMMYFUNCTION("IMPORTRANGE(""https://docs.google.com/spreadsheets/d/1SX6NBoVAgQJ6U1MVXOaj8PK2l7WJ3RER9xtqwdhxkhw/edit?usp=sharing"",""ปทุมธานี!J329"")"),0)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IFERROR(__xludf.DUMMYFUNCTION("IMPORTRANGE(""https://docs.google.com/spreadsheets/d/1SX6NBoVAgQJ6U1MVXOaj8PK2l7WJ3RER9xtqwdhxkhw/edit?usp=sharing"",""ปทุมธานี!I330"")"),10)</f>
        <v>10</v>
      </c>
      <c r="J435" s="410">
        <f ca="1">IFERROR(__xludf.DUMMYFUNCTION("IMPORTRANGE(""https://docs.google.com/spreadsheets/d/1SX6NBoVAgQJ6U1MVXOaj8PK2l7WJ3RER9xtqwdhxkhw/edit?usp=sharing"",""ปทุมธานี!J330"")"),10)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IFERROR(__xludf.DUMMYFUNCTION("IMPORTRANGE(""https://docs.google.com/spreadsheets/d/1SX6NBoVAgQJ6U1MVXOaj8PK2l7WJ3RER9xtqwdhxkhw/edit?usp=sharing"",""ปทุมธานี!L330"")"),76000)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IFERROR(__xludf.DUMMYFUNCTION("IMPORTRANGE(""https://docs.google.com/spreadsheets/d/1SX6NBoVAgQJ6U1MVXOaj8PK2l7WJ3RER9xtqwdhxkhw/edit?usp=sharing"",""ปทุมธานี!M330"")"),52257)</f>
        <v>52257</v>
      </c>
      <c r="O435" s="412">
        <f t="shared" ref="O435:O439" ca="1" si="110">+IF(L435&gt;0,N435*100/L435,0)</f>
        <v>68.759210526315783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IFERROR(__xludf.DUMMYFUNCTION("IMPORTRANGE(""https://docs.google.com/spreadsheets/d/1SX6NBoVAgQJ6U1MVXOaj8PK2l7WJ3RER9xtqwdhxkhw/edit?usp=sharing"",""ปทุมธานี!L331"")"),0)</f>
        <v>0</v>
      </c>
      <c r="M436" s="164"/>
      <c r="N436" s="169">
        <f ca="1">IFERROR(__xludf.DUMMYFUNCTION("IMPORTRANGE(""https://docs.google.com/spreadsheets/d/1SX6NBoVAgQJ6U1MVXOaj8PK2l7WJ3RER9xtqwdhxkhw/edit?usp=sharing"",""ปทุมธานี!M331"")"),0)</f>
        <v>0</v>
      </c>
      <c r="O436" s="169">
        <f t="shared" ca="1" si="110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IFERROR(__xludf.DUMMYFUNCTION("IMPORTRANGE(""https://docs.google.com/spreadsheets/d/1SX6NBoVAgQJ6U1MVXOaj8PK2l7WJ3RER9xtqwdhxkhw/edit?usp=sharing"",""ปทุมธานี!L332"")"),76000)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IFERROR(__xludf.DUMMYFUNCTION("IMPORTRANGE(""https://docs.google.com/spreadsheets/d/1SX6NBoVAgQJ6U1MVXOaj8PK2l7WJ3RER9xtqwdhxkhw/edit?usp=sharing"",""ปทุมธานี!M332"")"),52257)</f>
        <v>52257</v>
      </c>
      <c r="O437" s="169">
        <f t="shared" ca="1" si="110"/>
        <v>68.759210526315783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IFERROR(__xludf.DUMMYFUNCTION("IMPORTRANGE(""https://docs.google.com/spreadsheets/d/1SX6NBoVAgQJ6U1MVXOaj8PK2l7WJ3RER9xtqwdhxkhw/edit?usp=sharing"",""ปทุมธานี!L333"")"),0)</f>
        <v>0</v>
      </c>
      <c r="M438" s="169"/>
      <c r="N438" s="169">
        <f ca="1">IFERROR(__xludf.DUMMYFUNCTION("IMPORTRANGE(""https://docs.google.com/spreadsheets/d/1SX6NBoVAgQJ6U1MVXOaj8PK2l7WJ3RER9xtqwdhxkhw/edit?usp=sharing"",""ปทุมธานี!M333"")"),0)</f>
        <v>0</v>
      </c>
      <c r="O438" s="169">
        <f t="shared" ca="1" si="110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IFERROR(__xludf.DUMMYFUNCTION("IMPORTRANGE(""https://docs.google.com/spreadsheets/d/1SX6NBoVAgQJ6U1MVXOaj8PK2l7WJ3RER9xtqwdhxkhw/edit?usp=sharing"",""ปทุมธานี!L334"")"),76000)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IFERROR(__xludf.DUMMYFUNCTION("IMPORTRANGE(""https://docs.google.com/spreadsheets/d/1SX6NBoVAgQJ6U1MVXOaj8PK2l7WJ3RER9xtqwdhxkhw/edit?usp=sharing"",""ปทุมธานี!M334"")"),52257)</f>
        <v>52257</v>
      </c>
      <c r="O439" s="169">
        <f t="shared" ca="1" si="110"/>
        <v>68.759210526315783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IFERROR(__xludf.DUMMYFUNCTION("IMPORTRANGE(""https://docs.google.com/spreadsheets/d/1SX6NBoVAgQJ6U1MVXOaj8PK2l7WJ3RER9xtqwdhxkhw/edit?usp=sharing"",""ปทุมธานี!M335"")"),43257)</f>
        <v>43257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IFERROR(__xludf.DUMMYFUNCTION("IMPORTRANGE(""https://docs.google.com/spreadsheets/d/1SX6NBoVAgQJ6U1MVXOaj8PK2l7WJ3RER9xtqwdhxkhw/edit?usp=sharing"",""ปทุมธานี!M336"")"),0)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IFERROR(__xludf.DUMMYFUNCTION("IMPORTRANGE(""https://docs.google.com/spreadsheets/d/1SX6NBoVAgQJ6U1MVXOaj8PK2l7WJ3RER9xtqwdhxkhw/edit?usp=sharing"",""ปทุมธานี!M337"")"),0)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IFERROR(__xludf.DUMMYFUNCTION("IMPORTRANGE(""https://docs.google.com/spreadsheets/d/1SX6NBoVAgQJ6U1MVXOaj8PK2l7WJ3RER9xtqwdhxkhw/edit?usp=sharing"",""ปทุมธานี!M338"")"),9000)</f>
        <v>9000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IFERROR(__xludf.DUMMYFUNCTION("IMPORTRANGE(""https://docs.google.com/spreadsheets/d/1SX6NBoVAgQJ6U1MVXOaj8PK2l7WJ3RER9xtqwdhxkhw/edit?usp=sharing"",""ปทุมธานี!J340"")"),0)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IFERROR(__xludf.DUMMYFUNCTION("IMPORTRANGE(""https://docs.google.com/spreadsheets/d/1SX6NBoVAgQJ6U1MVXOaj8PK2l7WJ3RER9xtqwdhxkhw/edit?usp=sharing"",""ปทุมธานี!J341"")"),1)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IFERROR(__xludf.DUMMYFUNCTION("IMPORTRANGE(""https://docs.google.com/spreadsheets/d/1SX6NBoVAgQJ6U1MVXOaj8PK2l7WJ3RER9xtqwdhxkhw/edit?usp=sharing"",""ปทุมธานี!J342"")"),1)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IFERROR(__xludf.DUMMYFUNCTION("IMPORTRANGE(""https://docs.google.com/spreadsheets/d/1SX6NBoVAgQJ6U1MVXOaj8PK2l7WJ3RER9xtqwdhxkhw/edit?usp=sharing"",""ปทุมธานี!J343"")"),1)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IFERROR(__xludf.DUMMYFUNCTION("IMPORTRANGE(""https://docs.google.com/spreadsheets/d/1SX6NBoVAgQJ6U1MVXOaj8PK2l7WJ3RER9xtqwdhxkhw/edit?usp=sharing"",""ปทุมธานี!I344"")"),10)</f>
        <v>10</v>
      </c>
      <c r="J449" s="201">
        <f ca="1">IFERROR(__xludf.DUMMYFUNCTION("IMPORTRANGE(""https://docs.google.com/spreadsheets/d/1SX6NBoVAgQJ6U1MVXOaj8PK2l7WJ3RER9xtqwdhxkhw/edit?usp=sharing"",""ปทุมธานี!J344"")"),10)</f>
        <v>10</v>
      </c>
      <c r="K449" s="163">
        <f t="shared" ref="K449:K452" ca="1" si="111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IFERROR(__xludf.DUMMYFUNCTION("IMPORTRANGE(""https://docs.google.com/spreadsheets/d/1SX6NBoVAgQJ6U1MVXOaj8PK2l7WJ3RER9xtqwdhxkhw/edit?usp=sharing"",""ปทุมธานี!I345"")"),10)</f>
        <v>10</v>
      </c>
      <c r="J450" s="189">
        <f ca="1">IFERROR(__xludf.DUMMYFUNCTION("IMPORTRANGE(""https://docs.google.com/spreadsheets/d/1SX6NBoVAgQJ6U1MVXOaj8PK2l7WJ3RER9xtqwdhxkhw/edit?usp=sharing"",""ปทุมธานี!J345"")"),10)</f>
        <v>10</v>
      </c>
      <c r="K450" s="163">
        <f t="shared" ca="1" si="111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IFERROR(__xludf.DUMMYFUNCTION("IMPORTRANGE(""https://docs.google.com/spreadsheets/d/1SX6NBoVAgQJ6U1MVXOaj8PK2l7WJ3RER9xtqwdhxkhw/edit?usp=sharing"",""ปทุมธานี!I346"")"),0)</f>
        <v>0</v>
      </c>
      <c r="J451" s="188">
        <f ca="1">IFERROR(__xludf.DUMMYFUNCTION("IMPORTRANGE(""https://docs.google.com/spreadsheets/d/1SX6NBoVAgQJ6U1MVXOaj8PK2l7WJ3RER9xtqwdhxkhw/edit?usp=sharing"",""ปทุมธานี!J346"")"),0)</f>
        <v>0</v>
      </c>
      <c r="K451" s="163">
        <f t="shared" ca="1" si="111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IFERROR(__xludf.DUMMYFUNCTION("IMPORTRANGE(""https://docs.google.com/spreadsheets/d/1SX6NBoVAgQJ6U1MVXOaj8PK2l7WJ3RER9xtqwdhxkhw/edit?usp=sharing"",""ปทุมธานี!I347"")"),0)</f>
        <v>0</v>
      </c>
      <c r="J452" s="188">
        <f ca="1">IFERROR(__xludf.DUMMYFUNCTION("IMPORTRANGE(""https://docs.google.com/spreadsheets/d/1SX6NBoVAgQJ6U1MVXOaj8PK2l7WJ3RER9xtqwdhxkhw/edit?usp=sharing"",""ปทุมธานี!J347"")"),0)</f>
        <v>0</v>
      </c>
      <c r="K452" s="163">
        <f t="shared" ca="1" si="111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IFERROR(__xludf.DUMMYFUNCTION("IMPORTRANGE(""https://docs.google.com/spreadsheets/d/1SX6NBoVAgQJ6U1MVXOaj8PK2l7WJ3RER9xtqwdhxkhw/edit?usp=sharing"",""ปทุมธานี!J348"")"),0)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IFERROR(__xludf.DUMMYFUNCTION("IMPORTRANGE(""https://docs.google.com/spreadsheets/d/1SX6NBoVAgQJ6U1MVXOaj8PK2l7WJ3RER9xtqwdhxkhw/edit?usp=sharing"",""ปทุมธานี!J349"")"),0)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IFERROR(__xludf.DUMMYFUNCTION("IMPORTRANGE(""https://docs.google.com/spreadsheets/d/1SX6NBoVAgQJ6U1MVXOaj8PK2l7WJ3RER9xtqwdhxkhw/edit?usp=sharing"",""ปทุมธานี!I350"")"),0)</f>
        <v>0</v>
      </c>
      <c r="J455" s="371">
        <f ca="1">IFERROR(__xludf.DUMMYFUNCTION("IMPORTRANGE(""https://docs.google.com/spreadsheets/d/1SX6NBoVAgQJ6U1MVXOaj8PK2l7WJ3RER9xtqwdhxkhw/edit?usp=sharing"",""ปทุมธานี!J350"")"),0)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IFERROR(__xludf.DUMMYFUNCTION("IMPORTRANGE(""https://docs.google.com/spreadsheets/d/1SX6NBoVAgQJ6U1MVXOaj8PK2l7WJ3RER9xtqwdhxkhw/edit?usp=sharing"",""ปทุมธานี!L350"")"),0)</f>
        <v>0</v>
      </c>
      <c r="M455" s="373"/>
      <c r="N455" s="373">
        <f ca="1">IFERROR(__xludf.DUMMYFUNCTION("IMPORTRANGE(""https://docs.google.com/spreadsheets/d/1SX6NBoVAgQJ6U1MVXOaj8PK2l7WJ3RER9xtqwdhxkhw/edit?usp=sharing"",""ปทุมธานี!M350"")"),0)</f>
        <v>0</v>
      </c>
      <c r="O455" s="373">
        <f t="shared" ref="O455:O459" ca="1" si="112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IFERROR(__xludf.DUMMYFUNCTION("IMPORTRANGE(""https://docs.google.com/spreadsheets/d/1SX6NBoVAgQJ6U1MVXOaj8PK2l7WJ3RER9xtqwdhxkhw/edit?usp=sharing"",""ปทุมธานี!L351"")"),0)</f>
        <v>0</v>
      </c>
      <c r="M456" s="164"/>
      <c r="N456" s="169">
        <f ca="1">IFERROR(__xludf.DUMMYFUNCTION("IMPORTRANGE(""https://docs.google.com/spreadsheets/d/1SX6NBoVAgQJ6U1MVXOaj8PK2l7WJ3RER9xtqwdhxkhw/edit?usp=sharing"",""ปทุมธานี!M351"")"),0)</f>
        <v>0</v>
      </c>
      <c r="O456" s="169">
        <f t="shared" ca="1" si="112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IFERROR(__xludf.DUMMYFUNCTION("IMPORTRANGE(""https://docs.google.com/spreadsheets/d/1SX6NBoVAgQJ6U1MVXOaj8PK2l7WJ3RER9xtqwdhxkhw/edit?usp=sharing"",""ปทุมธานี!L352"")"),0)</f>
        <v>0</v>
      </c>
      <c r="M457" s="165"/>
      <c r="N457" s="169">
        <f ca="1">IFERROR(__xludf.DUMMYFUNCTION("IMPORTRANGE(""https://docs.google.com/spreadsheets/d/1SX6NBoVAgQJ6U1MVXOaj8PK2l7WJ3RER9xtqwdhxkhw/edit?usp=sharing"",""ปทุมธานี!M352"")"),0)</f>
        <v>0</v>
      </c>
      <c r="O457" s="169">
        <f t="shared" ca="1" si="112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IFERROR(__xludf.DUMMYFUNCTION("IMPORTRANGE(""https://docs.google.com/spreadsheets/d/1SX6NBoVAgQJ6U1MVXOaj8PK2l7WJ3RER9xtqwdhxkhw/edit?usp=sharing"",""ปทุมธานี!L353"")"),0)</f>
        <v>0</v>
      </c>
      <c r="M458" s="169"/>
      <c r="N458" s="169">
        <f ca="1">IFERROR(__xludf.DUMMYFUNCTION("IMPORTRANGE(""https://docs.google.com/spreadsheets/d/1SX6NBoVAgQJ6U1MVXOaj8PK2l7WJ3RER9xtqwdhxkhw/edit?usp=sharing"",""ปทุมธานี!M353"")"),0)</f>
        <v>0</v>
      </c>
      <c r="O458" s="169">
        <f t="shared" ca="1" si="112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IFERROR(__xludf.DUMMYFUNCTION("IMPORTRANGE(""https://docs.google.com/spreadsheets/d/1SX6NBoVAgQJ6U1MVXOaj8PK2l7WJ3RER9xtqwdhxkhw/edit?usp=sharing"",""ปทุมธานี!L354"")"),0)</f>
        <v>0</v>
      </c>
      <c r="M459" s="169"/>
      <c r="N459" s="169">
        <f ca="1">IFERROR(__xludf.DUMMYFUNCTION("IMPORTRANGE(""https://docs.google.com/spreadsheets/d/1SX6NBoVAgQJ6U1MVXOaj8PK2l7WJ3RER9xtqwdhxkhw/edit?usp=sharing"",""ปทุมธานี!M354"")"),0)</f>
        <v>0</v>
      </c>
      <c r="O459" s="169">
        <f t="shared" ca="1" si="112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IFERROR(__xludf.DUMMYFUNCTION("IMPORTRANGE(""https://docs.google.com/spreadsheets/d/1SX6NBoVAgQJ6U1MVXOaj8PK2l7WJ3RER9xtqwdhxkhw/edit?usp=sharing"",""ปทุมธานี!M355"")"),0)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IFERROR(__xludf.DUMMYFUNCTION("IMPORTRANGE(""https://docs.google.com/spreadsheets/d/1SX6NBoVAgQJ6U1MVXOaj8PK2l7WJ3RER9xtqwdhxkhw/edit?usp=sharing"",""ปทุมธานี!M356"")"),0)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IFERROR(__xludf.DUMMYFUNCTION("IMPORTRANGE(""https://docs.google.com/spreadsheets/d/1SX6NBoVAgQJ6U1MVXOaj8PK2l7WJ3RER9xtqwdhxkhw/edit?usp=sharing"",""ปทุมธานี!M357"")"),0)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IFERROR(__xludf.DUMMYFUNCTION("IMPORTRANGE(""https://docs.google.com/spreadsheets/d/1SX6NBoVAgQJ6U1MVXOaj8PK2l7WJ3RER9xtqwdhxkhw/edit?usp=sharing"",""ปทุมธานี!M358"")"),0)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IFERROR(__xludf.DUMMYFUNCTION("IMPORTRANGE(""https://docs.google.com/spreadsheets/d/1SX6NBoVAgQJ6U1MVXOaj8PK2l7WJ3RER9xtqwdhxkhw/edit?usp=sharing"",""ปทุมธานี!I359"")"),0)</f>
        <v>0</v>
      </c>
      <c r="J464" s="267">
        <f ca="1">IFERROR(__xludf.DUMMYFUNCTION("IMPORTRANGE(""https://docs.google.com/spreadsheets/d/1SX6NBoVAgQJ6U1MVXOaj8PK2l7WJ3RER9xtqwdhxkhw/edit?usp=sharing"",""ปทุมธานี!J359"")"),0)</f>
        <v>0</v>
      </c>
      <c r="K464" s="268">
        <f t="shared" ref="K464:K515" ca="1" si="113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IFERROR(__xludf.DUMMYFUNCTION("IMPORTRANGE(""https://docs.google.com/spreadsheets/d/1SX6NBoVAgQJ6U1MVXOaj8PK2l7WJ3RER9xtqwdhxkhw/edit?usp=sharing"",""ปทุมธานี!I360"")"),0)</f>
        <v>0</v>
      </c>
      <c r="J465" s="420">
        <f ca="1">IFERROR(__xludf.DUMMYFUNCTION("IMPORTRANGE(""https://docs.google.com/spreadsheets/d/1SX6NBoVAgQJ6U1MVXOaj8PK2l7WJ3RER9xtqwdhxkhw/edit?usp=sharing"",""ปทุมธานี!J360"")"),0)</f>
        <v>0</v>
      </c>
      <c r="K465" s="202">
        <f t="shared" ca="1" si="113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IFERROR(__xludf.DUMMYFUNCTION("IMPORTRANGE(""https://docs.google.com/spreadsheets/d/1SX6NBoVAgQJ6U1MVXOaj8PK2l7WJ3RER9xtqwdhxkhw/edit?usp=sharing"",""ปทุมธานี!I361"")"),0)</f>
        <v>0</v>
      </c>
      <c r="J466" s="420">
        <f ca="1">IFERROR(__xludf.DUMMYFUNCTION("IMPORTRANGE(""https://docs.google.com/spreadsheets/d/1SX6NBoVAgQJ6U1MVXOaj8PK2l7WJ3RER9xtqwdhxkhw/edit?usp=sharing"",""ปทุมธานี!J361"")"),0)</f>
        <v>0</v>
      </c>
      <c r="K466" s="202">
        <f t="shared" ca="1" si="113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IFERROR(__xludf.DUMMYFUNCTION("IMPORTRANGE(""https://docs.google.com/spreadsheets/d/1SX6NBoVAgQJ6U1MVXOaj8PK2l7WJ3RER9xtqwdhxkhw/edit?usp=sharing"",""ปทุมธานี!I362"")"),0)</f>
        <v>0</v>
      </c>
      <c r="J467" s="189">
        <f ca="1">IFERROR(__xludf.DUMMYFUNCTION("IMPORTRANGE(""https://docs.google.com/spreadsheets/d/1SX6NBoVAgQJ6U1MVXOaj8PK2l7WJ3RER9xtqwdhxkhw/edit?usp=sharing"",""ปทุมธานี!J362"")"),0)</f>
        <v>0</v>
      </c>
      <c r="K467" s="163">
        <f t="shared" ca="1" si="113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IFERROR(__xludf.DUMMYFUNCTION("IMPORTRANGE(""https://docs.google.com/spreadsheets/d/1SX6NBoVAgQJ6U1MVXOaj8PK2l7WJ3RER9xtqwdhxkhw/edit?usp=sharing"",""ปทุมธานี!I363"")"),0)</f>
        <v>0</v>
      </c>
      <c r="J468" s="189">
        <f ca="1">IFERROR(__xludf.DUMMYFUNCTION("IMPORTRANGE(""https://docs.google.com/spreadsheets/d/1SX6NBoVAgQJ6U1MVXOaj8PK2l7WJ3RER9xtqwdhxkhw/edit?usp=sharing"",""ปทุมธานี!J363"")"),0)</f>
        <v>0</v>
      </c>
      <c r="K468" s="163">
        <f t="shared" ca="1" si="113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IFERROR(__xludf.DUMMYFUNCTION("IMPORTRANGE(""https://docs.google.com/spreadsheets/d/1SX6NBoVAgQJ6U1MVXOaj8PK2l7WJ3RER9xtqwdhxkhw/edit?usp=sharing"",""ปทุมธานี!I364"")"),0)</f>
        <v>0</v>
      </c>
      <c r="J469" s="189">
        <f ca="1">IFERROR(__xludf.DUMMYFUNCTION("IMPORTRANGE(""https://docs.google.com/spreadsheets/d/1SX6NBoVAgQJ6U1MVXOaj8PK2l7WJ3RER9xtqwdhxkhw/edit?usp=sharing"",""ปทุมธานี!J364"")"),0)</f>
        <v>0</v>
      </c>
      <c r="K469" s="163">
        <f t="shared" ca="1" si="113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IFERROR(__xludf.DUMMYFUNCTION("IMPORTRANGE(""https://docs.google.com/spreadsheets/d/1SX6NBoVAgQJ6U1MVXOaj8PK2l7WJ3RER9xtqwdhxkhw/edit?usp=sharing"",""ปทุมธานี!I365"")"),0)</f>
        <v>0</v>
      </c>
      <c r="J470" s="189">
        <f ca="1">IFERROR(__xludf.DUMMYFUNCTION("IMPORTRANGE(""https://docs.google.com/spreadsheets/d/1SX6NBoVAgQJ6U1MVXOaj8PK2l7WJ3RER9xtqwdhxkhw/edit?usp=sharing"",""ปทุมธานี!J365"")"),0)</f>
        <v>0</v>
      </c>
      <c r="K470" s="163">
        <f t="shared" ca="1" si="113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IFERROR(__xludf.DUMMYFUNCTION("IMPORTRANGE(""https://docs.google.com/spreadsheets/d/1SX6NBoVAgQJ6U1MVXOaj8PK2l7WJ3RER9xtqwdhxkhw/edit?usp=sharing"",""ปทุมธานี!I366"")"),0)</f>
        <v>0</v>
      </c>
      <c r="J471" s="189">
        <f ca="1">IFERROR(__xludf.DUMMYFUNCTION("IMPORTRANGE(""https://docs.google.com/spreadsheets/d/1SX6NBoVAgQJ6U1MVXOaj8PK2l7WJ3RER9xtqwdhxkhw/edit?usp=sharing"",""ปทุมธานี!J366"")"),0)</f>
        <v>0</v>
      </c>
      <c r="K471" s="163">
        <f t="shared" ca="1" si="113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IFERROR(__xludf.DUMMYFUNCTION("IMPORTRANGE(""https://docs.google.com/spreadsheets/d/1SX6NBoVAgQJ6U1MVXOaj8PK2l7WJ3RER9xtqwdhxkhw/edit?usp=sharing"",""ปทุมธานี!I367"")"),0)</f>
        <v>0</v>
      </c>
      <c r="J472" s="189">
        <f ca="1">IFERROR(__xludf.DUMMYFUNCTION("IMPORTRANGE(""https://docs.google.com/spreadsheets/d/1SX6NBoVAgQJ6U1MVXOaj8PK2l7WJ3RER9xtqwdhxkhw/edit?usp=sharing"",""ปทุมธานี!J367"")"),0)</f>
        <v>0</v>
      </c>
      <c r="K472" s="163">
        <f t="shared" ca="1" si="113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IFERROR(__xludf.DUMMYFUNCTION("IMPORTRANGE(""https://docs.google.com/spreadsheets/d/1SX6NBoVAgQJ6U1MVXOaj8PK2l7WJ3RER9xtqwdhxkhw/edit?usp=sharing"",""ปทุมธานี!I368"")"),0)</f>
        <v>0</v>
      </c>
      <c r="J473" s="420">
        <f ca="1">IFERROR(__xludf.DUMMYFUNCTION("IMPORTRANGE(""https://docs.google.com/spreadsheets/d/1SX6NBoVAgQJ6U1MVXOaj8PK2l7WJ3RER9xtqwdhxkhw/edit?usp=sharing"",""ปทุมธานี!J368"")"),0)</f>
        <v>0</v>
      </c>
      <c r="K473" s="202">
        <f t="shared" ca="1" si="113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IFERROR(__xludf.DUMMYFUNCTION("IMPORTRANGE(""https://docs.google.com/spreadsheets/d/1SX6NBoVAgQJ6U1MVXOaj8PK2l7WJ3RER9xtqwdhxkhw/edit?usp=sharing"",""ปทุมธานี!I369"")"),0)</f>
        <v>0</v>
      </c>
      <c r="J474" s="420">
        <f ca="1">IFERROR(__xludf.DUMMYFUNCTION("IMPORTRANGE(""https://docs.google.com/spreadsheets/d/1SX6NBoVAgQJ6U1MVXOaj8PK2l7WJ3RER9xtqwdhxkhw/edit?usp=sharing"",""ปทุมธานี!J369"")"),0)</f>
        <v>0</v>
      </c>
      <c r="K474" s="163">
        <f t="shared" ca="1" si="113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IFERROR(__xludf.DUMMYFUNCTION("IMPORTRANGE(""https://docs.google.com/spreadsheets/d/1SX6NBoVAgQJ6U1MVXOaj8PK2l7WJ3RER9xtqwdhxkhw/edit?usp=sharing"",""ปทุมธานี!I370"")"),0)</f>
        <v>0</v>
      </c>
      <c r="J475" s="189">
        <f ca="1">IFERROR(__xludf.DUMMYFUNCTION("IMPORTRANGE(""https://docs.google.com/spreadsheets/d/1SX6NBoVAgQJ6U1MVXOaj8PK2l7WJ3RER9xtqwdhxkhw/edit?usp=sharing"",""ปทุมธานี!J370"")"),0)</f>
        <v>0</v>
      </c>
      <c r="K475" s="163">
        <f t="shared" ca="1" si="113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IFERROR(__xludf.DUMMYFUNCTION("IMPORTRANGE(""https://docs.google.com/spreadsheets/d/1SX6NBoVAgQJ6U1MVXOaj8PK2l7WJ3RER9xtqwdhxkhw/edit?usp=sharing"",""ปทุมธานี!I371"")"),0)</f>
        <v>0</v>
      </c>
      <c r="J476" s="189">
        <f ca="1">IFERROR(__xludf.DUMMYFUNCTION("IMPORTRANGE(""https://docs.google.com/spreadsheets/d/1SX6NBoVAgQJ6U1MVXOaj8PK2l7WJ3RER9xtqwdhxkhw/edit?usp=sharing"",""ปทุมธานี!J371"")"),0)</f>
        <v>0</v>
      </c>
      <c r="K476" s="163">
        <f t="shared" ca="1" si="113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IFERROR(__xludf.DUMMYFUNCTION("IMPORTRANGE(""https://docs.google.com/spreadsheets/d/1SX6NBoVAgQJ6U1MVXOaj8PK2l7WJ3RER9xtqwdhxkhw/edit?usp=sharing"",""ปทุมธานี!I372"")"),0)</f>
        <v>0</v>
      </c>
      <c r="J477" s="189">
        <f ca="1">IFERROR(__xludf.DUMMYFUNCTION("IMPORTRANGE(""https://docs.google.com/spreadsheets/d/1SX6NBoVAgQJ6U1MVXOaj8PK2l7WJ3RER9xtqwdhxkhw/edit?usp=sharing"",""ปทุมธานี!J372"")"),0)</f>
        <v>0</v>
      </c>
      <c r="K477" s="163">
        <f t="shared" ca="1" si="113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IFERROR(__xludf.DUMMYFUNCTION("IMPORTRANGE(""https://docs.google.com/spreadsheets/d/1SX6NBoVAgQJ6U1MVXOaj8PK2l7WJ3RER9xtqwdhxkhw/edit?usp=sharing"",""ปทุมธานี!I373"")"),0)</f>
        <v>0</v>
      </c>
      <c r="J478" s="189">
        <f ca="1">IFERROR(__xludf.DUMMYFUNCTION("IMPORTRANGE(""https://docs.google.com/spreadsheets/d/1SX6NBoVAgQJ6U1MVXOaj8PK2l7WJ3RER9xtqwdhxkhw/edit?usp=sharing"",""ปทุมธานี!J373"")"),0)</f>
        <v>0</v>
      </c>
      <c r="K478" s="163">
        <f t="shared" ca="1" si="113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IFERROR(__xludf.DUMMYFUNCTION("IMPORTRANGE(""https://docs.google.com/spreadsheets/d/1SX6NBoVAgQJ6U1MVXOaj8PK2l7WJ3RER9xtqwdhxkhw/edit?usp=sharing"",""ปทุมธานี!I374"")"),0)</f>
        <v>0</v>
      </c>
      <c r="J479" s="189">
        <f ca="1">IFERROR(__xludf.DUMMYFUNCTION("IMPORTRANGE(""https://docs.google.com/spreadsheets/d/1SX6NBoVAgQJ6U1MVXOaj8PK2l7WJ3RER9xtqwdhxkhw/edit?usp=sharing"",""ปทุมธานี!J374"")"),0)</f>
        <v>0</v>
      </c>
      <c r="K479" s="163">
        <f t="shared" ca="1" si="113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IFERROR(__xludf.DUMMYFUNCTION("IMPORTRANGE(""https://docs.google.com/spreadsheets/d/1SX6NBoVAgQJ6U1MVXOaj8PK2l7WJ3RER9xtqwdhxkhw/edit?usp=sharing"",""ปทุมธานี!I375"")"),0)</f>
        <v>0</v>
      </c>
      <c r="J480" s="189">
        <f ca="1">IFERROR(__xludf.DUMMYFUNCTION("IMPORTRANGE(""https://docs.google.com/spreadsheets/d/1SX6NBoVAgQJ6U1MVXOaj8PK2l7WJ3RER9xtqwdhxkhw/edit?usp=sharing"",""ปทุมธานี!J375"")"),0)</f>
        <v>0</v>
      </c>
      <c r="K480" s="163">
        <f t="shared" ca="1" si="113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IFERROR(__xludf.DUMMYFUNCTION("IMPORTRANGE(""https://docs.google.com/spreadsheets/d/1SX6NBoVAgQJ6U1MVXOaj8PK2l7WJ3RER9xtqwdhxkhw/edit?usp=sharing"",""ปทุมธานี!I376"")"),0)</f>
        <v>0</v>
      </c>
      <c r="J481" s="420">
        <f ca="1">IFERROR(__xludf.DUMMYFUNCTION("IMPORTRANGE(""https://docs.google.com/spreadsheets/d/1SX6NBoVAgQJ6U1MVXOaj8PK2l7WJ3RER9xtqwdhxkhw/edit?usp=sharing"",""ปทุมธานี!J376"")"),0)</f>
        <v>0</v>
      </c>
      <c r="K481" s="202">
        <f t="shared" ca="1" si="113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IFERROR(__xludf.DUMMYFUNCTION("IMPORTRANGE(""https://docs.google.com/spreadsheets/d/1SX6NBoVAgQJ6U1MVXOaj8PK2l7WJ3RER9xtqwdhxkhw/edit?usp=sharing"",""ปทุมธานี!I377"")"),0)</f>
        <v>0</v>
      </c>
      <c r="J482" s="420">
        <f ca="1">IFERROR(__xludf.DUMMYFUNCTION("IMPORTRANGE(""https://docs.google.com/spreadsheets/d/1SX6NBoVAgQJ6U1MVXOaj8PK2l7WJ3RER9xtqwdhxkhw/edit?usp=sharing"",""ปทุมธานี!J377"")"),0)</f>
        <v>0</v>
      </c>
      <c r="K482" s="163">
        <f t="shared" ca="1" si="113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IFERROR(__xludf.DUMMYFUNCTION("IMPORTRANGE(""https://docs.google.com/spreadsheets/d/1SX6NBoVAgQJ6U1MVXOaj8PK2l7WJ3RER9xtqwdhxkhw/edit?usp=sharing"",""ปทุมธานี!I378"")"),0)</f>
        <v>0</v>
      </c>
      <c r="J483" s="189">
        <f ca="1">IFERROR(__xludf.DUMMYFUNCTION("IMPORTRANGE(""https://docs.google.com/spreadsheets/d/1SX6NBoVAgQJ6U1MVXOaj8PK2l7WJ3RER9xtqwdhxkhw/edit?usp=sharing"",""ปทุมธานี!J378"")"),0)</f>
        <v>0</v>
      </c>
      <c r="K483" s="163">
        <f t="shared" ca="1" si="113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IFERROR(__xludf.DUMMYFUNCTION("IMPORTRANGE(""https://docs.google.com/spreadsheets/d/1SX6NBoVAgQJ6U1MVXOaj8PK2l7WJ3RER9xtqwdhxkhw/edit?usp=sharing"",""ปทุมธานี!I379"")"),0)</f>
        <v>0</v>
      </c>
      <c r="J484" s="189">
        <f ca="1">IFERROR(__xludf.DUMMYFUNCTION("IMPORTRANGE(""https://docs.google.com/spreadsheets/d/1SX6NBoVAgQJ6U1MVXOaj8PK2l7WJ3RER9xtqwdhxkhw/edit?usp=sharing"",""ปทุมธานี!J379"")"),0)</f>
        <v>0</v>
      </c>
      <c r="K484" s="163">
        <f t="shared" ca="1" si="113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IFERROR(__xludf.DUMMYFUNCTION("IMPORTRANGE(""https://docs.google.com/spreadsheets/d/1SX6NBoVAgQJ6U1MVXOaj8PK2l7WJ3RER9xtqwdhxkhw/edit?usp=sharing"",""ปทุมธานี!I380"")"),0)</f>
        <v>0</v>
      </c>
      <c r="J485" s="189">
        <f ca="1">IFERROR(__xludf.DUMMYFUNCTION("IMPORTRANGE(""https://docs.google.com/spreadsheets/d/1SX6NBoVAgQJ6U1MVXOaj8PK2l7WJ3RER9xtqwdhxkhw/edit?usp=sharing"",""ปทุมธานี!J380"")"),0)</f>
        <v>0</v>
      </c>
      <c r="K485" s="163">
        <f t="shared" ca="1" si="113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IFERROR(__xludf.DUMMYFUNCTION("IMPORTRANGE(""https://docs.google.com/spreadsheets/d/1SX6NBoVAgQJ6U1MVXOaj8PK2l7WJ3RER9xtqwdhxkhw/edit?usp=sharing"",""ปทุมธานี!I381"")"),0)</f>
        <v>0</v>
      </c>
      <c r="J486" s="189">
        <f ca="1">IFERROR(__xludf.DUMMYFUNCTION("IMPORTRANGE(""https://docs.google.com/spreadsheets/d/1SX6NBoVAgQJ6U1MVXOaj8PK2l7WJ3RER9xtqwdhxkhw/edit?usp=sharing"",""ปทุมธานี!J381"")"),0)</f>
        <v>0</v>
      </c>
      <c r="K486" s="163">
        <f t="shared" ca="1" si="113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IFERROR(__xludf.DUMMYFUNCTION("IMPORTRANGE(""https://docs.google.com/spreadsheets/d/1SX6NBoVAgQJ6U1MVXOaj8PK2l7WJ3RER9xtqwdhxkhw/edit?usp=sharing"",""ปทุมธานี!I382"")"),0)</f>
        <v>0</v>
      </c>
      <c r="J487" s="420">
        <f ca="1">IFERROR(__xludf.DUMMYFUNCTION("IMPORTRANGE(""https://docs.google.com/spreadsheets/d/1SX6NBoVAgQJ6U1MVXOaj8PK2l7WJ3RER9xtqwdhxkhw/edit?usp=sharing"",""ปทุมธานี!J382"")"),0)</f>
        <v>0</v>
      </c>
      <c r="K487" s="163">
        <f t="shared" ca="1" si="113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IFERROR(__xludf.DUMMYFUNCTION("IMPORTRANGE(""https://docs.google.com/spreadsheets/d/1SX6NBoVAgQJ6U1MVXOaj8PK2l7WJ3RER9xtqwdhxkhw/edit?usp=sharing"",""ปทุมธานี!I383"")"),0)</f>
        <v>0</v>
      </c>
      <c r="J488" s="420">
        <f ca="1">IFERROR(__xludf.DUMMYFUNCTION("IMPORTRANGE(""https://docs.google.com/spreadsheets/d/1SX6NBoVAgQJ6U1MVXOaj8PK2l7WJ3RER9xtqwdhxkhw/edit?usp=sharing"",""ปทุมธานี!J383"")"),0)</f>
        <v>0</v>
      </c>
      <c r="K488" s="163">
        <f t="shared" ca="1" si="113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IFERROR(__xludf.DUMMYFUNCTION("IMPORTRANGE(""https://docs.google.com/spreadsheets/d/1SX6NBoVAgQJ6U1MVXOaj8PK2l7WJ3RER9xtqwdhxkhw/edit?usp=sharing"",""ปทุมธานี!I384"")"),0)</f>
        <v>0</v>
      </c>
      <c r="J489" s="189">
        <f ca="1">IFERROR(__xludf.DUMMYFUNCTION("IMPORTRANGE(""https://docs.google.com/spreadsheets/d/1SX6NBoVAgQJ6U1MVXOaj8PK2l7WJ3RER9xtqwdhxkhw/edit?usp=sharing"",""ปทุมธานี!J384"")"),0)</f>
        <v>0</v>
      </c>
      <c r="K489" s="163">
        <f t="shared" ca="1" si="113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IFERROR(__xludf.DUMMYFUNCTION("IMPORTRANGE(""https://docs.google.com/spreadsheets/d/1SX6NBoVAgQJ6U1MVXOaj8PK2l7WJ3RER9xtqwdhxkhw/edit?usp=sharing"",""ปทุมธานี!I385"")"),0)</f>
        <v>0</v>
      </c>
      <c r="J490" s="189">
        <f ca="1">IFERROR(__xludf.DUMMYFUNCTION("IMPORTRANGE(""https://docs.google.com/spreadsheets/d/1SX6NBoVAgQJ6U1MVXOaj8PK2l7WJ3RER9xtqwdhxkhw/edit?usp=sharing"",""ปทุมธานี!J385"")"),0)</f>
        <v>0</v>
      </c>
      <c r="K490" s="163">
        <f t="shared" ca="1" si="113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IFERROR(__xludf.DUMMYFUNCTION("IMPORTRANGE(""https://docs.google.com/spreadsheets/d/1SX6NBoVAgQJ6U1MVXOaj8PK2l7WJ3RER9xtqwdhxkhw/edit?usp=sharing"",""ปทุมธานี!I386"")"),0)</f>
        <v>0</v>
      </c>
      <c r="J491" s="189">
        <f ca="1">IFERROR(__xludf.DUMMYFUNCTION("IMPORTRANGE(""https://docs.google.com/spreadsheets/d/1SX6NBoVAgQJ6U1MVXOaj8PK2l7WJ3RER9xtqwdhxkhw/edit?usp=sharing"",""ปทุมธานี!J386"")"),0)</f>
        <v>0</v>
      </c>
      <c r="K491" s="163">
        <f t="shared" ca="1" si="113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IFERROR(__xludf.DUMMYFUNCTION("IMPORTRANGE(""https://docs.google.com/spreadsheets/d/1SX6NBoVAgQJ6U1MVXOaj8PK2l7WJ3RER9xtqwdhxkhw/edit?usp=sharing"",""ปทุมธานี!I387"")"),0)</f>
        <v>0</v>
      </c>
      <c r="J492" s="189">
        <f ca="1">IFERROR(__xludf.DUMMYFUNCTION("IMPORTRANGE(""https://docs.google.com/spreadsheets/d/1SX6NBoVAgQJ6U1MVXOaj8PK2l7WJ3RER9xtqwdhxkhw/edit?usp=sharing"",""ปทุมธานี!J387"")"),0)</f>
        <v>0</v>
      </c>
      <c r="K492" s="163">
        <f t="shared" ca="1" si="113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IFERROR(__xludf.DUMMYFUNCTION("IMPORTRANGE(""https://docs.google.com/spreadsheets/d/1SX6NBoVAgQJ6U1MVXOaj8PK2l7WJ3RER9xtqwdhxkhw/edit?usp=sharing"",""ปทุมธานี!I388"")"),0)</f>
        <v>0</v>
      </c>
      <c r="J493" s="189">
        <f ca="1">IFERROR(__xludf.DUMMYFUNCTION("IMPORTRANGE(""https://docs.google.com/spreadsheets/d/1SX6NBoVAgQJ6U1MVXOaj8PK2l7WJ3RER9xtqwdhxkhw/edit?usp=sharing"",""ปทุมธานี!J388"")"),0)</f>
        <v>0</v>
      </c>
      <c r="K493" s="163">
        <f t="shared" ca="1" si="113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IFERROR(__xludf.DUMMYFUNCTION("IMPORTRANGE(""https://docs.google.com/spreadsheets/d/1SX6NBoVAgQJ6U1MVXOaj8PK2l7WJ3RER9xtqwdhxkhw/edit?usp=sharing"",""ปทุมธานี!I389"")"),0)</f>
        <v>0</v>
      </c>
      <c r="J494" s="436">
        <f ca="1">IFERROR(__xludf.DUMMYFUNCTION("IMPORTRANGE(""https://docs.google.com/spreadsheets/d/1SX6NBoVAgQJ6U1MVXOaj8PK2l7WJ3RER9xtqwdhxkhw/edit?usp=sharing"",""ปทุมธานี!J389"")"),0)</f>
        <v>0</v>
      </c>
      <c r="K494" s="288">
        <f t="shared" ca="1" si="113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IFERROR(__xludf.DUMMYFUNCTION("IMPORTRANGE(""https://docs.google.com/spreadsheets/d/1SX6NBoVAgQJ6U1MVXOaj8PK2l7WJ3RER9xtqwdhxkhw/edit?usp=sharing"",""ปทุมธานี!I390"")"),0)</f>
        <v>0</v>
      </c>
      <c r="J495" s="436">
        <f ca="1">IFERROR(__xludf.DUMMYFUNCTION("IMPORTRANGE(""https://docs.google.com/spreadsheets/d/1SX6NBoVAgQJ6U1MVXOaj8PK2l7WJ3RER9xtqwdhxkhw/edit?usp=sharing"",""ปทุมธานี!J390"")"),0)</f>
        <v>0</v>
      </c>
      <c r="K495" s="163">
        <f t="shared" ca="1" si="113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IFERROR(__xludf.DUMMYFUNCTION("IMPORTRANGE(""https://docs.google.com/spreadsheets/d/1SX6NBoVAgQJ6U1MVXOaj8PK2l7WJ3RER9xtqwdhxkhw/edit?usp=sharing"",""ปทุมธานี!I391"")"),0)</f>
        <v>0</v>
      </c>
      <c r="J496" s="436">
        <f ca="1">IFERROR(__xludf.DUMMYFUNCTION("IMPORTRANGE(""https://docs.google.com/spreadsheets/d/1SX6NBoVAgQJ6U1MVXOaj8PK2l7WJ3RER9xtqwdhxkhw/edit?usp=sharing"",""ปทุมธานี!J391"")"),0)</f>
        <v>0</v>
      </c>
      <c r="K496" s="288">
        <f t="shared" ca="1" si="113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IFERROR(__xludf.DUMMYFUNCTION("IMPORTRANGE(""https://docs.google.com/spreadsheets/d/1SX6NBoVAgQJ6U1MVXOaj8PK2l7WJ3RER9xtqwdhxkhw/edit?usp=sharing"",""ปทุมธานี!I392"")"),0)</f>
        <v>0</v>
      </c>
      <c r="J497" s="443">
        <f ca="1">IFERROR(__xludf.DUMMYFUNCTION("IMPORTRANGE(""https://docs.google.com/spreadsheets/d/1SX6NBoVAgQJ6U1MVXOaj8PK2l7WJ3RER9xtqwdhxkhw/edit?usp=sharing"",""ปทุมธานี!J392"")"),0)</f>
        <v>0</v>
      </c>
      <c r="K497" s="444">
        <f t="shared" ca="1" si="113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IFERROR(__xludf.DUMMYFUNCTION("IMPORTRANGE(""https://docs.google.com/spreadsheets/d/1SX6NBoVAgQJ6U1MVXOaj8PK2l7WJ3RER9xtqwdhxkhw/edit?usp=sharing"",""ปทุมธานี!I393"")"),0)</f>
        <v>0</v>
      </c>
      <c r="J498" s="420">
        <f ca="1">IFERROR(__xludf.DUMMYFUNCTION("IMPORTRANGE(""https://docs.google.com/spreadsheets/d/1SX6NBoVAgQJ6U1MVXOaj8PK2l7WJ3RER9xtqwdhxkhw/edit?usp=sharing"",""ปทุมธานี!J393"")"),0)</f>
        <v>0</v>
      </c>
      <c r="K498" s="163">
        <f t="shared" ca="1" si="113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IFERROR(__xludf.DUMMYFUNCTION("IMPORTRANGE(""https://docs.google.com/spreadsheets/d/1SX6NBoVAgQJ6U1MVXOaj8PK2l7WJ3RER9xtqwdhxkhw/edit?usp=sharing"",""ปทุมธานี!I394"")"),0)</f>
        <v>0</v>
      </c>
      <c r="J499" s="420">
        <f ca="1">IFERROR(__xludf.DUMMYFUNCTION("IMPORTRANGE(""https://docs.google.com/spreadsheets/d/1SX6NBoVAgQJ6U1MVXOaj8PK2l7WJ3RER9xtqwdhxkhw/edit?usp=sharing"",""ปทุมธานี!J394"")"),0)</f>
        <v>0</v>
      </c>
      <c r="K499" s="202">
        <f t="shared" ca="1" si="113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IFERROR(__xludf.DUMMYFUNCTION("IMPORTRANGE(""https://docs.google.com/spreadsheets/d/1SX6NBoVAgQJ6U1MVXOaj8PK2l7WJ3RER9xtqwdhxkhw/edit?usp=sharing"",""ปทุมธานี!I395"")"),0)</f>
        <v>0</v>
      </c>
      <c r="J500" s="162">
        <f ca="1">IFERROR(__xludf.DUMMYFUNCTION("IMPORTRANGE(""https://docs.google.com/spreadsheets/d/1SX6NBoVAgQJ6U1MVXOaj8PK2l7WJ3RER9xtqwdhxkhw/edit?usp=sharing"",""ปทุมธานี!J395"")"),0)</f>
        <v>0</v>
      </c>
      <c r="K500" s="163">
        <f t="shared" ca="1" si="113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IFERROR(__xludf.DUMMYFUNCTION("IMPORTRANGE(""https://docs.google.com/spreadsheets/d/1SX6NBoVAgQJ6U1MVXOaj8PK2l7WJ3RER9xtqwdhxkhw/edit?usp=sharing"",""ปทุมธานี!I396"")"),0)</f>
        <v>0</v>
      </c>
      <c r="J501" s="162">
        <f ca="1">IFERROR(__xludf.DUMMYFUNCTION("IMPORTRANGE(""https://docs.google.com/spreadsheets/d/1SX6NBoVAgQJ6U1MVXOaj8PK2l7WJ3RER9xtqwdhxkhw/edit?usp=sharing"",""ปทุมธานี!J396"")"),0)</f>
        <v>0</v>
      </c>
      <c r="K501" s="163">
        <f t="shared" ca="1" si="113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IFERROR(__xludf.DUMMYFUNCTION("IMPORTRANGE(""https://docs.google.com/spreadsheets/d/1SX6NBoVAgQJ6U1MVXOaj8PK2l7WJ3RER9xtqwdhxkhw/edit?usp=sharing"",""ปทุมธานี!I397"")"),0)</f>
        <v>0</v>
      </c>
      <c r="J502" s="189">
        <f ca="1">IFERROR(__xludf.DUMMYFUNCTION("IMPORTRANGE(""https://docs.google.com/spreadsheets/d/1SX6NBoVAgQJ6U1MVXOaj8PK2l7WJ3RER9xtqwdhxkhw/edit?usp=sharing"",""ปทุมธานี!J397"")"),0)</f>
        <v>0</v>
      </c>
      <c r="K502" s="163">
        <f t="shared" ca="1" si="113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IFERROR(__xludf.DUMMYFUNCTION("IMPORTRANGE(""https://docs.google.com/spreadsheets/d/1SX6NBoVAgQJ6U1MVXOaj8PK2l7WJ3RER9xtqwdhxkhw/edit?usp=sharing"",""ปทุมธานี!I398"")"),0)</f>
        <v>0</v>
      </c>
      <c r="J503" s="198">
        <f ca="1">IFERROR(__xludf.DUMMYFUNCTION("IMPORTRANGE(""https://docs.google.com/spreadsheets/d/1SX6NBoVAgQJ6U1MVXOaj8PK2l7WJ3RER9xtqwdhxkhw/edit?usp=sharing"",""ปทุมธานี!J398"")"),0)</f>
        <v>0</v>
      </c>
      <c r="K503" s="163">
        <f t="shared" ca="1" si="113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IFERROR(__xludf.DUMMYFUNCTION("IMPORTRANGE(""https://docs.google.com/spreadsheets/d/1SX6NBoVAgQJ6U1MVXOaj8PK2l7WJ3RER9xtqwdhxkhw/edit?usp=sharing"",""ปทุมธานี!I399"")"),0)</f>
        <v>0</v>
      </c>
      <c r="J504" s="189">
        <f ca="1">IFERROR(__xludf.DUMMYFUNCTION("IMPORTRANGE(""https://docs.google.com/spreadsheets/d/1SX6NBoVAgQJ6U1MVXOaj8PK2l7WJ3RER9xtqwdhxkhw/edit?usp=sharing"",""ปทุมธานี!J399"")"),0)</f>
        <v>0</v>
      </c>
      <c r="K504" s="163">
        <f t="shared" ca="1" si="113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IFERROR(__xludf.DUMMYFUNCTION("IMPORTRANGE(""https://docs.google.com/spreadsheets/d/1SX6NBoVAgQJ6U1MVXOaj8PK2l7WJ3RER9xtqwdhxkhw/edit?usp=sharing"",""ปทุมธานี!I400"")"),0)</f>
        <v>0</v>
      </c>
      <c r="J505" s="198">
        <f ca="1">IFERROR(__xludf.DUMMYFUNCTION("IMPORTRANGE(""https://docs.google.com/spreadsheets/d/1SX6NBoVAgQJ6U1MVXOaj8PK2l7WJ3RER9xtqwdhxkhw/edit?usp=sharing"",""ปทุมธานี!J400"")"),0)</f>
        <v>0</v>
      </c>
      <c r="K505" s="163">
        <f t="shared" ca="1" si="113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IFERROR(__xludf.DUMMYFUNCTION("IMPORTRANGE(""https://docs.google.com/spreadsheets/d/1SX6NBoVAgQJ6U1MVXOaj8PK2l7WJ3RER9xtqwdhxkhw/edit?usp=sharing"",""ปทุมธานี!I401"")"),0)</f>
        <v>0</v>
      </c>
      <c r="J506" s="189">
        <f ca="1">IFERROR(__xludf.DUMMYFUNCTION("IMPORTRANGE(""https://docs.google.com/spreadsheets/d/1SX6NBoVAgQJ6U1MVXOaj8PK2l7WJ3RER9xtqwdhxkhw/edit?usp=sharing"",""ปทุมธานี!J401"")"),0)</f>
        <v>0</v>
      </c>
      <c r="K506" s="163">
        <f t="shared" ca="1" si="113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IFERROR(__xludf.DUMMYFUNCTION("IMPORTRANGE(""https://docs.google.com/spreadsheets/d/1SX6NBoVAgQJ6U1MVXOaj8PK2l7WJ3RER9xtqwdhxkhw/edit?usp=sharing"",""ปทุมธานี!I402"")"),0)</f>
        <v>0</v>
      </c>
      <c r="J507" s="198">
        <f ca="1">IFERROR(__xludf.DUMMYFUNCTION("IMPORTRANGE(""https://docs.google.com/spreadsheets/d/1SX6NBoVAgQJ6U1MVXOaj8PK2l7WJ3RER9xtqwdhxkhw/edit?usp=sharing"",""ปทุมธานี!J402"")"),0)</f>
        <v>0</v>
      </c>
      <c r="K507" s="163">
        <f t="shared" ca="1" si="113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IFERROR(__xludf.DUMMYFUNCTION("IMPORTRANGE(""https://docs.google.com/spreadsheets/d/1SX6NBoVAgQJ6U1MVXOaj8PK2l7WJ3RER9xtqwdhxkhw/edit?usp=sharing"",""ปทุมธานี!I403"")"),0)</f>
        <v>0</v>
      </c>
      <c r="J508" s="162">
        <f ca="1">IFERROR(__xludf.DUMMYFUNCTION("IMPORTRANGE(""https://docs.google.com/spreadsheets/d/1SX6NBoVAgQJ6U1MVXOaj8PK2l7WJ3RER9xtqwdhxkhw/edit?usp=sharing"",""ปทุมธานี!J403"")"),0)</f>
        <v>0</v>
      </c>
      <c r="K508" s="163">
        <f t="shared" ca="1" si="113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IFERROR(__xludf.DUMMYFUNCTION("IMPORTRANGE(""https://docs.google.com/spreadsheets/d/1SX6NBoVAgQJ6U1MVXOaj8PK2l7WJ3RER9xtqwdhxkhw/edit?usp=sharing"",""ปทุมธานี!I404"")"),0)</f>
        <v>0</v>
      </c>
      <c r="J509" s="162">
        <f ca="1">IFERROR(__xludf.DUMMYFUNCTION("IMPORTRANGE(""https://docs.google.com/spreadsheets/d/1SX6NBoVAgQJ6U1MVXOaj8PK2l7WJ3RER9xtqwdhxkhw/edit?usp=sharing"",""ปทุมธานี!J404"")"),0)</f>
        <v>0</v>
      </c>
      <c r="K509" s="163">
        <f t="shared" ca="1" si="113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IFERROR(__xludf.DUMMYFUNCTION("IMPORTRANGE(""https://docs.google.com/spreadsheets/d/1SX6NBoVAgQJ6U1MVXOaj8PK2l7WJ3RER9xtqwdhxkhw/edit?usp=sharing"",""ปทุมธานี!I405"")"),0)</f>
        <v>0</v>
      </c>
      <c r="J510" s="198">
        <f ca="1">IFERROR(__xludf.DUMMYFUNCTION("IMPORTRANGE(""https://docs.google.com/spreadsheets/d/1SX6NBoVAgQJ6U1MVXOaj8PK2l7WJ3RER9xtqwdhxkhw/edit?usp=sharing"",""ปทุมธานี!J405"")"),0)</f>
        <v>0</v>
      </c>
      <c r="K510" s="163">
        <f t="shared" ca="1" si="113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IFERROR(__xludf.DUMMYFUNCTION("IMPORTRANGE(""https://docs.google.com/spreadsheets/d/1SX6NBoVAgQJ6U1MVXOaj8PK2l7WJ3RER9xtqwdhxkhw/edit?usp=sharing"",""ปทุมธานี!I406"")"),0)</f>
        <v>0</v>
      </c>
      <c r="J511" s="198">
        <f ca="1">IFERROR(__xludf.DUMMYFUNCTION("IMPORTRANGE(""https://docs.google.com/spreadsheets/d/1SX6NBoVAgQJ6U1MVXOaj8PK2l7WJ3RER9xtqwdhxkhw/edit?usp=sharing"",""ปทุมธานี!J406"")"),0)</f>
        <v>0</v>
      </c>
      <c r="K511" s="163">
        <f t="shared" ca="1" si="113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IFERROR(__xludf.DUMMYFUNCTION("IMPORTRANGE(""https://docs.google.com/spreadsheets/d/1SX6NBoVAgQJ6U1MVXOaj8PK2l7WJ3RER9xtqwdhxkhw/edit?usp=sharing"",""ปทุมธานี!I407"")"),0)</f>
        <v>0</v>
      </c>
      <c r="J512" s="198">
        <f ca="1">IFERROR(__xludf.DUMMYFUNCTION("IMPORTRANGE(""https://docs.google.com/spreadsheets/d/1SX6NBoVAgQJ6U1MVXOaj8PK2l7WJ3RER9xtqwdhxkhw/edit?usp=sharing"",""ปทุมธานี!J407"")"),0)</f>
        <v>0</v>
      </c>
      <c r="K512" s="163">
        <f t="shared" ca="1" si="113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IFERROR(__xludf.DUMMYFUNCTION("IMPORTRANGE(""https://docs.google.com/spreadsheets/d/1SX6NBoVAgQJ6U1MVXOaj8PK2l7WJ3RER9xtqwdhxkhw/edit?usp=sharing"",""ปทุมธานี!I408"")"),0)</f>
        <v>0</v>
      </c>
      <c r="J513" s="198">
        <f ca="1">IFERROR(__xludf.DUMMYFUNCTION("IMPORTRANGE(""https://docs.google.com/spreadsheets/d/1SX6NBoVAgQJ6U1MVXOaj8PK2l7WJ3RER9xtqwdhxkhw/edit?usp=sharing"",""ปทุมธานี!J408"")"),0)</f>
        <v>0</v>
      </c>
      <c r="K513" s="163">
        <f t="shared" ca="1" si="113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IFERROR(__xludf.DUMMYFUNCTION("IMPORTRANGE(""https://docs.google.com/spreadsheets/d/1SX6NBoVAgQJ6U1MVXOaj8PK2l7WJ3RER9xtqwdhxkhw/edit?usp=sharing"",""ปทุมธานี!I409"")"),0)</f>
        <v>0</v>
      </c>
      <c r="J514" s="198">
        <f ca="1">IFERROR(__xludf.DUMMYFUNCTION("IMPORTRANGE(""https://docs.google.com/spreadsheets/d/1SX6NBoVAgQJ6U1MVXOaj8PK2l7WJ3RER9xtqwdhxkhw/edit?usp=sharing"",""ปทุมธานี!J409"")"),0)</f>
        <v>0</v>
      </c>
      <c r="K514" s="163">
        <f t="shared" ca="1" si="113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IFERROR(__xludf.DUMMYFUNCTION("IMPORTRANGE(""https://docs.google.com/spreadsheets/d/1SX6NBoVAgQJ6U1MVXOaj8PK2l7WJ3RER9xtqwdhxkhw/edit?usp=sharing"",""ปทุมธานี!I410"")"),0)</f>
        <v>0</v>
      </c>
      <c r="J515" s="198">
        <f ca="1">IFERROR(__xludf.DUMMYFUNCTION("IMPORTRANGE(""https://docs.google.com/spreadsheets/d/1SX6NBoVAgQJ6U1MVXOaj8PK2l7WJ3RER9xtqwdhxkhw/edit?usp=sharing"",""ปทุมธานี!J410"")"),0)</f>
        <v>0</v>
      </c>
      <c r="K515" s="163">
        <f t="shared" ca="1" si="113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IFERROR(__xludf.DUMMYFUNCTION("IMPORTRANGE(""https://docs.google.com/spreadsheets/d/1SX6NBoVAgQJ6U1MVXOaj8PK2l7WJ3RER9xtqwdhxkhw/edit?usp=sharing"",""ปทุมธานี!I411"")"),0)</f>
        <v>0</v>
      </c>
      <c r="J516" s="267">
        <f ca="1">IFERROR(__xludf.DUMMYFUNCTION("IMPORTRANGE(""https://docs.google.com/spreadsheets/d/1SX6NBoVAgQJ6U1MVXOaj8PK2l7WJ3RER9xtqwdhxkhw/edit?usp=sharing"",""ปทุมธานี!J411"")"),0)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IFERROR(__xludf.DUMMYFUNCTION("IMPORTRANGE(""https://docs.google.com/spreadsheets/d/1SX6NBoVAgQJ6U1MVXOaj8PK2l7WJ3RER9xtqwdhxkhw/edit?usp=sharing"",""ปทุมธานี!I412"")"),0)</f>
        <v>0</v>
      </c>
      <c r="J517" s="284">
        <f ca="1">IFERROR(__xludf.DUMMYFUNCTION("IMPORTRANGE(""https://docs.google.com/spreadsheets/d/1SX6NBoVAgQJ6U1MVXOaj8PK2l7WJ3RER9xtqwdhxkhw/edit?usp=sharing"",""ปทุมธานี!J412"")"),0)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IFERROR(__xludf.DUMMYFUNCTION("IMPORTRANGE(""https://docs.google.com/spreadsheets/d/1SX6NBoVAgQJ6U1MVXOaj8PK2l7WJ3RER9xtqwdhxkhw/edit?usp=sharing"",""ปทุมธานี!I413"")"),0)</f>
        <v>0</v>
      </c>
      <c r="J518" s="284">
        <f ca="1">IFERROR(__xludf.DUMMYFUNCTION("IMPORTRANGE(""https://docs.google.com/spreadsheets/d/1SX6NBoVAgQJ6U1MVXOaj8PK2l7WJ3RER9xtqwdhxkhw/edit?usp=sharing"",""ปทุมธานี!J413"")"),0)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IFERROR(__xludf.DUMMYFUNCTION("IMPORTRANGE(""https://docs.google.com/spreadsheets/d/1SX6NBoVAgQJ6U1MVXOaj8PK2l7WJ3RER9xtqwdhxkhw/edit?usp=sharing"",""ปทุมธานี!I414"")"),0)</f>
        <v>0</v>
      </c>
      <c r="J519" s="188">
        <f ca="1">IFERROR(__xludf.DUMMYFUNCTION("IMPORTRANGE(""https://docs.google.com/spreadsheets/d/1SX6NBoVAgQJ6U1MVXOaj8PK2l7WJ3RER9xtqwdhxkhw/edit?usp=sharing"",""ปทุมธานี!J414"")"),0)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IFERROR(__xludf.DUMMYFUNCTION("IMPORTRANGE(""https://docs.google.com/spreadsheets/d/1SX6NBoVAgQJ6U1MVXOaj8PK2l7WJ3RER9xtqwdhxkhw/edit?usp=sharing"",""ปทุมธานี!I415"")"),0)</f>
        <v>0</v>
      </c>
      <c r="J520" s="188">
        <f ca="1">IFERROR(__xludf.DUMMYFUNCTION("IMPORTRANGE(""https://docs.google.com/spreadsheets/d/1SX6NBoVAgQJ6U1MVXOaj8PK2l7WJ3RER9xtqwdhxkhw/edit?usp=sharing"",""ปทุมธานี!J415"")"),0)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IFERROR(__xludf.DUMMYFUNCTION("IMPORTRANGE(""https://docs.google.com/spreadsheets/d/1SX6NBoVAgQJ6U1MVXOaj8PK2l7WJ3RER9xtqwdhxkhw/edit?usp=sharing"",""ปทุมธานี!I416"")"),0)</f>
        <v>0</v>
      </c>
      <c r="J521" s="188">
        <f ca="1">IFERROR(__xludf.DUMMYFUNCTION("IMPORTRANGE(""https://docs.google.com/spreadsheets/d/1SX6NBoVAgQJ6U1MVXOaj8PK2l7WJ3RER9xtqwdhxkhw/edit?usp=sharing"",""ปทุมธานี!J416"")"),0)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IFERROR(__xludf.DUMMYFUNCTION("IMPORTRANGE(""https://docs.google.com/spreadsheets/d/1SX6NBoVAgQJ6U1MVXOaj8PK2l7WJ3RER9xtqwdhxkhw/edit?usp=sharing"",""ปทุมธานี!I417"")"),0)</f>
        <v>0</v>
      </c>
      <c r="J522" s="188">
        <f ca="1">IFERROR(__xludf.DUMMYFUNCTION("IMPORTRANGE(""https://docs.google.com/spreadsheets/d/1SX6NBoVAgQJ6U1MVXOaj8PK2l7WJ3RER9xtqwdhxkhw/edit?usp=sharing"",""ปทุมธานี!J417"")"),0)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IFERROR(__xludf.DUMMYFUNCTION("IMPORTRANGE(""https://docs.google.com/spreadsheets/d/1SX6NBoVAgQJ6U1MVXOaj8PK2l7WJ3RER9xtqwdhxkhw/edit?usp=sharing"",""ปทุมธานี!I418"")"),0)</f>
        <v>0</v>
      </c>
      <c r="J523" s="188">
        <f ca="1">IFERROR(__xludf.DUMMYFUNCTION("IMPORTRANGE(""https://docs.google.com/spreadsheets/d/1SX6NBoVAgQJ6U1MVXOaj8PK2l7WJ3RER9xtqwdhxkhw/edit?usp=sharing"",""ปทุมธานี!J418"")"),0)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IFERROR(__xludf.DUMMYFUNCTION("IMPORTRANGE(""https://docs.google.com/spreadsheets/d/1SX6NBoVAgQJ6U1MVXOaj8PK2l7WJ3RER9xtqwdhxkhw/edit?usp=sharing"",""ปทุมธานี!I419"")"),0)</f>
        <v>0</v>
      </c>
      <c r="J524" s="188">
        <f ca="1">IFERROR(__xludf.DUMMYFUNCTION("IMPORTRANGE(""https://docs.google.com/spreadsheets/d/1SX6NBoVAgQJ6U1MVXOaj8PK2l7WJ3RER9xtqwdhxkhw/edit?usp=sharing"",""ปทุมธานี!J419"")"),0)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IFERROR(__xludf.DUMMYFUNCTION("IMPORTRANGE(""https://docs.google.com/spreadsheets/d/1SX6NBoVAgQJ6U1MVXOaj8PK2l7WJ3RER9xtqwdhxkhw/edit?usp=sharing"",""ปทุมธานี!I420"")"),0)</f>
        <v>0</v>
      </c>
      <c r="J525" s="284">
        <f ca="1">IFERROR(__xludf.DUMMYFUNCTION("IMPORTRANGE(""https://docs.google.com/spreadsheets/d/1SX6NBoVAgQJ6U1MVXOaj8PK2l7WJ3RER9xtqwdhxkhw/edit?usp=sharing"",""ปทุมธานี!J420"")"),0)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IFERROR(__xludf.DUMMYFUNCTION("IMPORTRANGE(""https://docs.google.com/spreadsheets/d/1SX6NBoVAgQJ6U1MVXOaj8PK2l7WJ3RER9xtqwdhxkhw/edit?usp=sharing"",""ปทุมธานี!I421"")"),0)</f>
        <v>0</v>
      </c>
      <c r="J526" s="284">
        <f ca="1">IFERROR(__xludf.DUMMYFUNCTION("IMPORTRANGE(""https://docs.google.com/spreadsheets/d/1SX6NBoVAgQJ6U1MVXOaj8PK2l7WJ3RER9xtqwdhxkhw/edit?usp=sharing"",""ปทุมธานี!J421"")"),0)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IFERROR(__xludf.DUMMYFUNCTION("IMPORTRANGE(""https://docs.google.com/spreadsheets/d/1SX6NBoVAgQJ6U1MVXOaj8PK2l7WJ3RER9xtqwdhxkhw/edit?usp=sharing"",""ปทุมธานี!I422"")"),0)</f>
        <v>0</v>
      </c>
      <c r="J527" s="198">
        <f ca="1">IFERROR(__xludf.DUMMYFUNCTION("IMPORTRANGE(""https://docs.google.com/spreadsheets/d/1SX6NBoVAgQJ6U1MVXOaj8PK2l7WJ3RER9xtqwdhxkhw/edit?usp=sharing"",""ปทุมธานี!J422"")"),0)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IFERROR(__xludf.DUMMYFUNCTION("IMPORTRANGE(""https://docs.google.com/spreadsheets/d/1SX6NBoVAgQJ6U1MVXOaj8PK2l7WJ3RER9xtqwdhxkhw/edit?usp=sharing"",""ปทุมธานี!I423"")"),0)</f>
        <v>0</v>
      </c>
      <c r="J528" s="198">
        <f ca="1">IFERROR(__xludf.DUMMYFUNCTION("IMPORTRANGE(""https://docs.google.com/spreadsheets/d/1SX6NBoVAgQJ6U1MVXOaj8PK2l7WJ3RER9xtqwdhxkhw/edit?usp=sharing"",""ปทุมธานี!J423"")"),0)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IFERROR(__xludf.DUMMYFUNCTION("IMPORTRANGE(""https://docs.google.com/spreadsheets/d/1SX6NBoVAgQJ6U1MVXOaj8PK2l7WJ3RER9xtqwdhxkhw/edit?usp=sharing"",""ปทุมธานี!I424"")"),0)</f>
        <v>0</v>
      </c>
      <c r="J529" s="198">
        <f ca="1">IFERROR(__xludf.DUMMYFUNCTION("IMPORTRANGE(""https://docs.google.com/spreadsheets/d/1SX6NBoVAgQJ6U1MVXOaj8PK2l7WJ3RER9xtqwdhxkhw/edit?usp=sharing"",""ปทุมธานี!J424"")"),0)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IFERROR(__xludf.DUMMYFUNCTION("IMPORTRANGE(""https://docs.google.com/spreadsheets/d/1SX6NBoVAgQJ6U1MVXOaj8PK2l7WJ3RER9xtqwdhxkhw/edit?usp=sharing"",""ปทุมธานี!I425"")"),0)</f>
        <v>0</v>
      </c>
      <c r="J530" s="198">
        <f ca="1">IFERROR(__xludf.DUMMYFUNCTION("IMPORTRANGE(""https://docs.google.com/spreadsheets/d/1SX6NBoVAgQJ6U1MVXOaj8PK2l7WJ3RER9xtqwdhxkhw/edit?usp=sharing"",""ปทุมธานี!J425"")"),0)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IFERROR(__xludf.DUMMYFUNCTION("IMPORTRANGE(""https://docs.google.com/spreadsheets/d/1SX6NBoVAgQJ6U1MVXOaj8PK2l7WJ3RER9xtqwdhxkhw/edit?usp=sharing"",""ปทุมธานี!I426"")"),0)</f>
        <v>0</v>
      </c>
      <c r="J531" s="198">
        <f ca="1">IFERROR(__xludf.DUMMYFUNCTION("IMPORTRANGE(""https://docs.google.com/spreadsheets/d/1SX6NBoVAgQJ6U1MVXOaj8PK2l7WJ3RER9xtqwdhxkhw/edit?usp=sharing"",""ปทุมธานี!J426"")"),0)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IFERROR(__xludf.DUMMYFUNCTION("IMPORTRANGE(""https://docs.google.com/spreadsheets/d/1SX6NBoVAgQJ6U1MVXOaj8PK2l7WJ3RER9xtqwdhxkhw/edit?usp=sharing"",""ปทุมธานี!I427"")"),0)</f>
        <v>0</v>
      </c>
      <c r="J532" s="466">
        <f ca="1">IFERROR(__xludf.DUMMYFUNCTION("IMPORTRANGE(""https://docs.google.com/spreadsheets/d/1SX6NBoVAgQJ6U1MVXOaj8PK2l7WJ3RER9xtqwdhxkhw/edit?usp=sharing"",""ปทุมธานี!J427"")"),0)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IFERROR(__xludf.DUMMYFUNCTION("IMPORTRANGE(""https://docs.google.com/spreadsheets/d/1SX6NBoVAgQJ6U1MVXOaj8PK2l7WJ3RER9xtqwdhxkhw/edit?usp=sharing"",""ปทุมธานี!I428"")"),22)</f>
        <v>22</v>
      </c>
      <c r="J533" s="410">
        <f ca="1">IFERROR(__xludf.DUMMYFUNCTION("IMPORTRANGE(""https://docs.google.com/spreadsheets/d/1SX6NBoVAgQJ6U1MVXOaj8PK2l7WJ3RER9xtqwdhxkhw/edit?usp=sharing"",""ปทุมธานี!J428"")"),22)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IFERROR(__xludf.DUMMYFUNCTION("IMPORTRANGE(""https://docs.google.com/spreadsheets/d/1SX6NBoVAgQJ6U1MVXOaj8PK2l7WJ3RER9xtqwdhxkhw/edit?usp=sharing"",""ปทุมธานี!L428"")"),34340)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IFERROR(__xludf.DUMMYFUNCTION("IMPORTRANGE(""https://docs.google.com/spreadsheets/d/1SX6NBoVAgQJ6U1MVXOaj8PK2l7WJ3RER9xtqwdhxkhw/edit?usp=sharing"",""ปทุมธานี!M428"")"),32607.02)</f>
        <v>32607.02</v>
      </c>
      <c r="O533" s="412">
        <f t="shared" ref="O533:O537" ca="1" si="114">+IF(L533&gt;0,N533*100/L533,0)</f>
        <v>94.953465346534657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IFERROR(__xludf.DUMMYFUNCTION("IMPORTRANGE(""https://docs.google.com/spreadsheets/d/1SX6NBoVAgQJ6U1MVXOaj8PK2l7WJ3RER9xtqwdhxkhw/edit?usp=sharing"",""ปทุมธานี!L429"")"),0)</f>
        <v>0</v>
      </c>
      <c r="M534" s="164"/>
      <c r="N534" s="169">
        <f ca="1">IFERROR(__xludf.DUMMYFUNCTION("IMPORTRANGE(""https://docs.google.com/spreadsheets/d/1SX6NBoVAgQJ6U1MVXOaj8PK2l7WJ3RER9xtqwdhxkhw/edit?usp=sharing"",""ปทุมธานี!M429"")"),0)</f>
        <v>0</v>
      </c>
      <c r="O534" s="169">
        <f t="shared" ca="1" si="114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IFERROR(__xludf.DUMMYFUNCTION("IMPORTRANGE(""https://docs.google.com/spreadsheets/d/1SX6NBoVAgQJ6U1MVXOaj8PK2l7WJ3RER9xtqwdhxkhw/edit?usp=sharing"",""ปทุมธานี!L430"")"),34340)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IFERROR(__xludf.DUMMYFUNCTION("IMPORTRANGE(""https://docs.google.com/spreadsheets/d/1SX6NBoVAgQJ6U1MVXOaj8PK2l7WJ3RER9xtqwdhxkhw/edit?usp=sharing"",""ปทุมธานี!M430"")"),32607.02)</f>
        <v>32607.02</v>
      </c>
      <c r="O535" s="169">
        <f t="shared" ca="1" si="114"/>
        <v>94.953465346534657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IFERROR(__xludf.DUMMYFUNCTION("IMPORTRANGE(""https://docs.google.com/spreadsheets/d/1SX6NBoVAgQJ6U1MVXOaj8PK2l7WJ3RER9xtqwdhxkhw/edit?usp=sharing"",""ปทุมธานี!L431"")"),0)</f>
        <v>0</v>
      </c>
      <c r="M536" s="169"/>
      <c r="N536" s="169">
        <f ca="1">IFERROR(__xludf.DUMMYFUNCTION("IMPORTRANGE(""https://docs.google.com/spreadsheets/d/1SX6NBoVAgQJ6U1MVXOaj8PK2l7WJ3RER9xtqwdhxkhw/edit?usp=sharing"",""ปทุมธานี!M431"")"),0)</f>
        <v>0</v>
      </c>
      <c r="O536" s="169">
        <f t="shared" ca="1" si="114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IFERROR(__xludf.DUMMYFUNCTION("IMPORTRANGE(""https://docs.google.com/spreadsheets/d/1SX6NBoVAgQJ6U1MVXOaj8PK2l7WJ3RER9xtqwdhxkhw/edit?usp=sharing"",""ปทุมธานี!L432"")"),34340)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IFERROR(__xludf.DUMMYFUNCTION("IMPORTRANGE(""https://docs.google.com/spreadsheets/d/1SX6NBoVAgQJ6U1MVXOaj8PK2l7WJ3RER9xtqwdhxkhw/edit?usp=sharing"",""ปทุมธานี!M432"")"),32607.02)</f>
        <v>32607.02</v>
      </c>
      <c r="O537" s="169">
        <f t="shared" ca="1" si="114"/>
        <v>94.953465346534657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IFERROR(__xludf.DUMMYFUNCTION("IMPORTRANGE(""https://docs.google.com/spreadsheets/d/1SX6NBoVAgQJ6U1MVXOaj8PK2l7WJ3RER9xtqwdhxkhw/edit?usp=sharing"",""ปทุมธานี!M433"")"),21527.02)</f>
        <v>21527.02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IFERROR(__xludf.DUMMYFUNCTION("IMPORTRANGE(""https://docs.google.com/spreadsheets/d/1SX6NBoVAgQJ6U1MVXOaj8PK2l7WJ3RER9xtqwdhxkhw/edit?usp=sharing"",""ปทุมธานี!M434"")"),0)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IFERROR(__xludf.DUMMYFUNCTION("IMPORTRANGE(""https://docs.google.com/spreadsheets/d/1SX6NBoVAgQJ6U1MVXOaj8PK2l7WJ3RER9xtqwdhxkhw/edit?usp=sharing"",""ปทุมธานี!M435"")"),0)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IFERROR(__xludf.DUMMYFUNCTION("IMPORTRANGE(""https://docs.google.com/spreadsheets/d/1SX6NBoVAgQJ6U1MVXOaj8PK2l7WJ3RER9xtqwdhxkhw/edit?usp=sharing"",""ปทุมธานี!M436"")"),11080)</f>
        <v>11080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IFERROR(__xludf.DUMMYFUNCTION("IMPORTRANGE(""https://docs.google.com/spreadsheets/d/1SX6NBoVAgQJ6U1MVXOaj8PK2l7WJ3RER9xtqwdhxkhw/edit?usp=sharing"",""ปทุมธานี!J438"")"),0)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IFERROR(__xludf.DUMMYFUNCTION("IMPORTRANGE(""https://docs.google.com/spreadsheets/d/1SX6NBoVAgQJ6U1MVXOaj8PK2l7WJ3RER9xtqwdhxkhw/edit?usp=sharing"",""ปทุมธานี!J439"")"),0)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IFERROR(__xludf.DUMMYFUNCTION("IMPORTRANGE(""https://docs.google.com/spreadsheets/d/1SX6NBoVAgQJ6U1MVXOaj8PK2l7WJ3RER9xtqwdhxkhw/edit?usp=sharing"",""ปทุมธานี!J440"")"),1)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IFERROR(__xludf.DUMMYFUNCTION("IMPORTRANGE(""https://docs.google.com/spreadsheets/d/1SX6NBoVAgQJ6U1MVXOaj8PK2l7WJ3RER9xtqwdhxkhw/edit?usp=sharing"",""ปทุมธานี!J441"")"),1)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IFERROR(__xludf.DUMMYFUNCTION("IMPORTRANGE(""https://docs.google.com/spreadsheets/d/1SX6NBoVAgQJ6U1MVXOaj8PK2l7WJ3RER9xtqwdhxkhw/edit?usp=sharing"",""ปทุมธานี!I442"")"),22)</f>
        <v>22</v>
      </c>
      <c r="J547" s="189">
        <f ca="1">IFERROR(__xludf.DUMMYFUNCTION("IMPORTRANGE(""https://docs.google.com/spreadsheets/d/1SX6NBoVAgQJ6U1MVXOaj8PK2l7WJ3RER9xtqwdhxkhw/edit?usp=sharing"",""ปทุมธานี!J442"")"),22)</f>
        <v>22</v>
      </c>
      <c r="K547" s="163">
        <f t="shared" ref="K547:K548" ca="1" si="115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IFERROR(__xludf.DUMMYFUNCTION("IMPORTRANGE(""https://docs.google.com/spreadsheets/d/1SX6NBoVAgQJ6U1MVXOaj8PK2l7WJ3RER9xtqwdhxkhw/edit?usp=sharing"",""ปทุมธานี!J166"")"),0)</f>
        <v>0</v>
      </c>
      <c r="K548" s="163">
        <f t="shared" ca="1" si="115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IFERROR(__xludf.DUMMYFUNCTION("IMPORTRANGE(""https://docs.google.com/spreadsheets/d/1SX6NBoVAgQJ6U1MVXOaj8PK2l7WJ3RER9xtqwdhxkhw/edit?usp=sharing"",""ปทุมธานี!J444"")"),1)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IFERROR(__xludf.DUMMYFUNCTION("IMPORTRANGE(""https://docs.google.com/spreadsheets/d/1SX6NBoVAgQJ6U1MVXOaj8PK2l7WJ3RER9xtqwdhxkhw/edit?usp=sharing"",""ปทุมธานี!J445"")"),1)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IFERROR(__xludf.DUMMYFUNCTION("IMPORTRANGE(""https://docs.google.com/spreadsheets/d/1SX6NBoVAgQJ6U1MVXOaj8PK2l7WJ3RER9xtqwdhxkhw/edit?usp=sharing"",""ปทุมธานี!I446"")"),0)</f>
        <v>0</v>
      </c>
      <c r="J551" s="410">
        <f ca="1">IFERROR(__xludf.DUMMYFUNCTION("IMPORTRANGE(""https://docs.google.com/spreadsheets/d/1SX6NBoVAgQJ6U1MVXOaj8PK2l7WJ3RER9xtqwdhxkhw/edit?usp=sharing"",""ปทุมธานี!J446"")"),0)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IFERROR(__xludf.DUMMYFUNCTION("IMPORTRANGE(""https://docs.google.com/spreadsheets/d/1SX6NBoVAgQJ6U1MVXOaj8PK2l7WJ3RER9xtqwdhxkhw/edit?usp=sharing"",""ปทุมธานี!L446"")"),0)</f>
        <v>0</v>
      </c>
      <c r="M551" s="412"/>
      <c r="N551" s="412">
        <f ca="1">IFERROR(__xludf.DUMMYFUNCTION("IMPORTRANGE(""https://docs.google.com/spreadsheets/d/1SX6NBoVAgQJ6U1MVXOaj8PK2l7WJ3RER9xtqwdhxkhw/edit?usp=sharing"",""ปทุมธานี!M446"")"),0)</f>
        <v>0</v>
      </c>
      <c r="O551" s="412">
        <f t="shared" ref="O551:O555" ca="1" si="116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IFERROR(__xludf.DUMMYFUNCTION("IMPORTRANGE(""https://docs.google.com/spreadsheets/d/1SX6NBoVAgQJ6U1MVXOaj8PK2l7WJ3RER9xtqwdhxkhw/edit?usp=sharing"",""ปทุมธานี!L447"")"),0)</f>
        <v>0</v>
      </c>
      <c r="M552" s="164"/>
      <c r="N552" s="169">
        <f ca="1">IFERROR(__xludf.DUMMYFUNCTION("IMPORTRANGE(""https://docs.google.com/spreadsheets/d/1SX6NBoVAgQJ6U1MVXOaj8PK2l7WJ3RER9xtqwdhxkhw/edit?usp=sharing"",""ปทุมธานี!M447"")"),0)</f>
        <v>0</v>
      </c>
      <c r="O552" s="169">
        <f t="shared" ca="1" si="116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IFERROR(__xludf.DUMMYFUNCTION("IMPORTRANGE(""https://docs.google.com/spreadsheets/d/1SX6NBoVAgQJ6U1MVXOaj8PK2l7WJ3RER9xtqwdhxkhw/edit?usp=sharing"",""ปทุมธานี!L448"")"),0)</f>
        <v>0</v>
      </c>
      <c r="M553" s="165"/>
      <c r="N553" s="169">
        <f ca="1">IFERROR(__xludf.DUMMYFUNCTION("IMPORTRANGE(""https://docs.google.com/spreadsheets/d/1SX6NBoVAgQJ6U1MVXOaj8PK2l7WJ3RER9xtqwdhxkhw/edit?usp=sharing"",""ปทุมธานี!M448"")"),0)</f>
        <v>0</v>
      </c>
      <c r="O553" s="169">
        <f t="shared" ca="1" si="116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IFERROR(__xludf.DUMMYFUNCTION("IMPORTRANGE(""https://docs.google.com/spreadsheets/d/1SX6NBoVAgQJ6U1MVXOaj8PK2l7WJ3RER9xtqwdhxkhw/edit?usp=sharing"",""ปทุมธานี!L449"")"),0)</f>
        <v>0</v>
      </c>
      <c r="M554" s="169"/>
      <c r="N554" s="169">
        <f ca="1">IFERROR(__xludf.DUMMYFUNCTION("IMPORTRANGE(""https://docs.google.com/spreadsheets/d/1SX6NBoVAgQJ6U1MVXOaj8PK2l7WJ3RER9xtqwdhxkhw/edit?usp=sharing"",""ปทุมธานี!M449"")"),0)</f>
        <v>0</v>
      </c>
      <c r="O554" s="169">
        <f t="shared" ca="1" si="116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IFERROR(__xludf.DUMMYFUNCTION("IMPORTRANGE(""https://docs.google.com/spreadsheets/d/1SX6NBoVAgQJ6U1MVXOaj8PK2l7WJ3RER9xtqwdhxkhw/edit?usp=sharing"",""ปทุมธานี!L450"")"),0)</f>
        <v>0</v>
      </c>
      <c r="M555" s="169"/>
      <c r="N555" s="169">
        <f ca="1">IFERROR(__xludf.DUMMYFUNCTION("IMPORTRANGE(""https://docs.google.com/spreadsheets/d/1SX6NBoVAgQJ6U1MVXOaj8PK2l7WJ3RER9xtqwdhxkhw/edit?usp=sharing"",""ปทุมธานี!M450"")"),0)</f>
        <v>0</v>
      </c>
      <c r="O555" s="169">
        <f t="shared" ca="1" si="116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IFERROR(__xludf.DUMMYFUNCTION("IMPORTRANGE(""https://docs.google.com/spreadsheets/d/1SX6NBoVAgQJ6U1MVXOaj8PK2l7WJ3RER9xtqwdhxkhw/edit?usp=sharing"",""ปทุมธานี!M451"")"),0)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IFERROR(__xludf.DUMMYFUNCTION("IMPORTRANGE(""https://docs.google.com/spreadsheets/d/1SX6NBoVAgQJ6U1MVXOaj8PK2l7WJ3RER9xtqwdhxkhw/edit?usp=sharing"",""ปทุมธานี!M452"")"),0)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IFERROR(__xludf.DUMMYFUNCTION("IMPORTRANGE(""https://docs.google.com/spreadsheets/d/1SX6NBoVAgQJ6U1MVXOaj8PK2l7WJ3RER9xtqwdhxkhw/edit?usp=sharing"",""ปทุมธานี!M453"")"),0)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IFERROR(__xludf.DUMMYFUNCTION("IMPORTRANGE(""https://docs.google.com/spreadsheets/d/1SX6NBoVAgQJ6U1MVXOaj8PK2l7WJ3RER9xtqwdhxkhw/edit?usp=sharing"",""ปทุมธานี!M454"")"),0)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IFERROR(__xludf.DUMMYFUNCTION("IMPORTRANGE(""https://docs.google.com/spreadsheets/d/1SX6NBoVAgQJ6U1MVXOaj8PK2l7WJ3RER9xtqwdhxkhw/edit?usp=sharing"",""ปทุมธานี!I455"")"),0)</f>
        <v>0</v>
      </c>
      <c r="J560" s="162">
        <f ca="1">IFERROR(__xludf.DUMMYFUNCTION("IMPORTRANGE(""https://docs.google.com/spreadsheets/d/1SX6NBoVAgQJ6U1MVXOaj8PK2l7WJ3RER9xtqwdhxkhw/edit?usp=sharing"",""ปทุมธานี!J455"")"),0)</f>
        <v>0</v>
      </c>
      <c r="K560" s="224">
        <f t="shared" ref="K560:K561" ca="1" si="117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IFERROR(__xludf.DUMMYFUNCTION("IMPORTRANGE(""https://docs.google.com/spreadsheets/d/1SX6NBoVAgQJ6U1MVXOaj8PK2l7WJ3RER9xtqwdhxkhw/edit?usp=sharing"",""ปทุมธานี!I456"")"),0)</f>
        <v>0</v>
      </c>
      <c r="J561" s="204">
        <f ca="1">IFERROR(__xludf.DUMMYFUNCTION("IMPORTRANGE(""https://docs.google.com/spreadsheets/d/1SX6NBoVAgQJ6U1MVXOaj8PK2l7WJ3RER9xtqwdhxkhw/edit?usp=sharing"",""ปทุมธานี!J456"")"),0)</f>
        <v>0</v>
      </c>
      <c r="K561" s="224">
        <f t="shared" ca="1" si="117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IFERROR(__xludf.DUMMYFUNCTION("IMPORTRANGE(""https://docs.google.com/spreadsheets/d/1SX6NBoVAgQJ6U1MVXOaj8PK2l7WJ3RER9xtqwdhxkhw/edit?usp=sharing"",""ปทุมธานี!I459"")"),200)</f>
        <v>200</v>
      </c>
      <c r="J564" s="371">
        <f ca="1">IFERROR(__xludf.DUMMYFUNCTION("IMPORTRANGE(""https://docs.google.com/spreadsheets/d/1SX6NBoVAgQJ6U1MVXOaj8PK2l7WJ3RER9xtqwdhxkhw/edit?usp=sharing"",""ปทุมธานี!J459"")"),747)</f>
        <v>747</v>
      </c>
      <c r="K564" s="372">
        <f ca="1">IF(I564&gt;0,J564*100/I564,0)</f>
        <v>373.5</v>
      </c>
      <c r="L564" s="373">
        <f ca="1">IFERROR(__xludf.DUMMYFUNCTION("IMPORTRANGE(""https://docs.google.com/spreadsheets/d/1SX6NBoVAgQJ6U1MVXOaj8PK2l7WJ3RER9xtqwdhxkhw/edit?usp=sharing"",""ปทุมธานี!L459"")"),126080)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IFERROR(__xludf.DUMMYFUNCTION("IMPORTRANGE(""https://docs.google.com/spreadsheets/d/1SX6NBoVAgQJ6U1MVXOaj8PK2l7WJ3RER9xtqwdhxkhw/edit?usp=sharing"",""ปทุมธานี!M459"")"),54860)</f>
        <v>54860</v>
      </c>
      <c r="O564" s="373">
        <f t="shared" ref="O564:O568" ca="1" si="118">+IF(L564&gt;0,N564*100/L564,0)</f>
        <v>43.512055837563452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IFERROR(__xludf.DUMMYFUNCTION("IMPORTRANGE(""https://docs.google.com/spreadsheets/d/1SX6NBoVAgQJ6U1MVXOaj8PK2l7WJ3RER9xtqwdhxkhw/edit?usp=sharing"",""ปทุมธานี!L460"")"),0)</f>
        <v>0</v>
      </c>
      <c r="M565" s="164"/>
      <c r="N565" s="169">
        <f ca="1">IFERROR(__xludf.DUMMYFUNCTION("IMPORTRANGE(""https://docs.google.com/spreadsheets/d/1SX6NBoVAgQJ6U1MVXOaj8PK2l7WJ3RER9xtqwdhxkhw/edit?usp=sharing"",""ปทุมธานี!M460"")"),0)</f>
        <v>0</v>
      </c>
      <c r="O565" s="169">
        <f t="shared" ca="1" si="118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IFERROR(__xludf.DUMMYFUNCTION("IMPORTRANGE(""https://docs.google.com/spreadsheets/d/1SX6NBoVAgQJ6U1MVXOaj8PK2l7WJ3RER9xtqwdhxkhw/edit?usp=sharing"",""ปทุมธานี!L461"")"),126080)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IFERROR(__xludf.DUMMYFUNCTION("IMPORTRANGE(""https://docs.google.com/spreadsheets/d/1SX6NBoVAgQJ6U1MVXOaj8PK2l7WJ3RER9xtqwdhxkhw/edit?usp=sharing"",""ปทุมธานี!M461"")"),54860)</f>
        <v>54860</v>
      </c>
      <c r="O566" s="169">
        <f t="shared" ca="1" si="118"/>
        <v>43.512055837563452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IFERROR(__xludf.DUMMYFUNCTION("IMPORTRANGE(""https://docs.google.com/spreadsheets/d/1SX6NBoVAgQJ6U1MVXOaj8PK2l7WJ3RER9xtqwdhxkhw/edit?usp=sharing"",""ปทุมธานี!L462"")"),0)</f>
        <v>0</v>
      </c>
      <c r="M567" s="169"/>
      <c r="N567" s="169">
        <f ca="1">IFERROR(__xludf.DUMMYFUNCTION("IMPORTRANGE(""https://docs.google.com/spreadsheets/d/1SX6NBoVAgQJ6U1MVXOaj8PK2l7WJ3RER9xtqwdhxkhw/edit?usp=sharing"",""ปทุมธานี!M462"")"),0)</f>
        <v>0</v>
      </c>
      <c r="O567" s="169">
        <f t="shared" ca="1" si="118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IFERROR(__xludf.DUMMYFUNCTION("IMPORTRANGE(""https://docs.google.com/spreadsheets/d/1SX6NBoVAgQJ6U1MVXOaj8PK2l7WJ3RER9xtqwdhxkhw/edit?usp=sharing"",""ปทุมธานี!L463"")"),126080)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IFERROR(__xludf.DUMMYFUNCTION("IMPORTRANGE(""https://docs.google.com/spreadsheets/d/1SX6NBoVAgQJ6U1MVXOaj8PK2l7WJ3RER9xtqwdhxkhw/edit?usp=sharing"",""ปทุมธานี!M463"")"),54860)</f>
        <v>54860</v>
      </c>
      <c r="O568" s="169">
        <f t="shared" ca="1" si="118"/>
        <v>43.512055837563452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IFERROR(__xludf.DUMMYFUNCTION("IMPORTRANGE(""https://docs.google.com/spreadsheets/d/1SX6NBoVAgQJ6U1MVXOaj8PK2l7WJ3RER9xtqwdhxkhw/edit?usp=sharing"",""ปทุมธานี!M464"")"),0)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IFERROR(__xludf.DUMMYFUNCTION("IMPORTRANGE(""https://docs.google.com/spreadsheets/d/1SX6NBoVAgQJ6U1MVXOaj8PK2l7WJ3RER9xtqwdhxkhw/edit?usp=sharing"",""ปทุมธานี!M465"")"),0)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IFERROR(__xludf.DUMMYFUNCTION("IMPORTRANGE(""https://docs.google.com/spreadsheets/d/1SX6NBoVAgQJ6U1MVXOaj8PK2l7WJ3RER9xtqwdhxkhw/edit?usp=sharing"",""ปทุมธานี!M466"")"),44000)</f>
        <v>44000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IFERROR(__xludf.DUMMYFUNCTION("IMPORTRANGE(""https://docs.google.com/spreadsheets/d/1SX6NBoVAgQJ6U1MVXOaj8PK2l7WJ3RER9xtqwdhxkhw/edit?usp=sharing"",""ปทุมธานี!M467"")"),10860)</f>
        <v>10860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IFERROR(__xludf.DUMMYFUNCTION("IMPORTRANGE(""https://docs.google.com/spreadsheets/d/1SX6NBoVAgQJ6U1MVXOaj8PK2l7WJ3RER9xtqwdhxkhw/edit?usp=sharing"",""ปทุมธานี!I468"")"),200)</f>
        <v>200</v>
      </c>
      <c r="J573" s="420">
        <f ca="1">IFERROR(__xludf.DUMMYFUNCTION("IMPORTRANGE(""https://docs.google.com/spreadsheets/d/1SX6NBoVAgQJ6U1MVXOaj8PK2l7WJ3RER9xtqwdhxkhw/edit?usp=sharing"",""ปทุมธานี!J468"")"),747)</f>
        <v>747</v>
      </c>
      <c r="K573" s="202">
        <f ca="1">IF(I573&gt;0,J573*100/I573,0)</f>
        <v>373.5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IFERROR(__xludf.DUMMYFUNCTION("IMPORTRANGE(""https://docs.google.com/spreadsheets/d/1SX6NBoVAgQJ6U1MVXOaj8PK2l7WJ3RER9xtqwdhxkhw/edit?usp=sharing"",""ปทุมธานี!I470"")"),0)</f>
        <v>0</v>
      </c>
      <c r="J575" s="198">
        <f ca="1">IFERROR(__xludf.DUMMYFUNCTION("IMPORTRANGE(""https://docs.google.com/spreadsheets/d/1SX6NBoVAgQJ6U1MVXOaj8PK2l7WJ3RER9xtqwdhxkhw/edit?usp=sharing"",""ปทุมธานี!J470"")"),10)</f>
        <v>10</v>
      </c>
      <c r="K575" s="163">
        <f t="shared" ref="K575:K579" ca="1" si="119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IFERROR(__xludf.DUMMYFUNCTION("IMPORTRANGE(""https://docs.google.com/spreadsheets/d/1SX6NBoVAgQJ6U1MVXOaj8PK2l7WJ3RER9xtqwdhxkhw/edit?usp=sharing"",""ปทุมธานี!I471"")"),0)</f>
        <v>0</v>
      </c>
      <c r="J576" s="198">
        <f ca="1">IFERROR(__xludf.DUMMYFUNCTION("IMPORTRANGE(""https://docs.google.com/spreadsheets/d/1SX6NBoVAgQJ6U1MVXOaj8PK2l7WJ3RER9xtqwdhxkhw/edit?usp=sharing"",""ปทุมธานี!J471"")"),312)</f>
        <v>312</v>
      </c>
      <c r="K576" s="163">
        <f t="shared" ca="1" si="119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IFERROR(__xludf.DUMMYFUNCTION("IMPORTRANGE(""https://docs.google.com/spreadsheets/d/1SX6NBoVAgQJ6U1MVXOaj8PK2l7WJ3RER9xtqwdhxkhw/edit?usp=sharing"",""ปทุมธานี!I472"")"),0)</f>
        <v>0</v>
      </c>
      <c r="J577" s="189">
        <f ca="1">IFERROR(__xludf.DUMMYFUNCTION("IMPORTRANGE(""https://docs.google.com/spreadsheets/d/1SX6NBoVAgQJ6U1MVXOaj8PK2l7WJ3RER9xtqwdhxkhw/edit?usp=sharing"",""ปทุมธานี!J472"")"),435)</f>
        <v>435</v>
      </c>
      <c r="K577" s="163">
        <f t="shared" ca="1" si="119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IFERROR(__xludf.DUMMYFUNCTION("IMPORTRANGE(""https://docs.google.com/spreadsheets/d/1SX6NBoVAgQJ6U1MVXOaj8PK2l7WJ3RER9xtqwdhxkhw/edit?usp=sharing"",""ปทุมธานี!I473"")"),0)</f>
        <v>0</v>
      </c>
      <c r="J578" s="198">
        <f ca="1">IFERROR(__xludf.DUMMYFUNCTION("IMPORTRANGE(""https://docs.google.com/spreadsheets/d/1SX6NBoVAgQJ6U1MVXOaj8PK2l7WJ3RER9xtqwdhxkhw/edit?usp=sharing"",""ปทุมธานี!J473"")"),0)</f>
        <v>0</v>
      </c>
      <c r="K578" s="163">
        <f t="shared" ca="1" si="119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IFERROR(__xludf.DUMMYFUNCTION("IMPORTRANGE(""https://docs.google.com/spreadsheets/d/1SX6NBoVAgQJ6U1MVXOaj8PK2l7WJ3RER9xtqwdhxkhw/edit?usp=sharing"",""ปทุมธานี!I474"")"),0)</f>
        <v>0</v>
      </c>
      <c r="J579" s="198">
        <f ca="1">IFERROR(__xludf.DUMMYFUNCTION("IMPORTRANGE(""https://docs.google.com/spreadsheets/d/1SX6NBoVAgQJ6U1MVXOaj8PK2l7WJ3RER9xtqwdhxkhw/edit?usp=sharing"",""ปทุมธานี!J474"")"),0)</f>
        <v>0</v>
      </c>
      <c r="K579" s="163">
        <f t="shared" ca="1" si="119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IFERROR(__xludf.DUMMYFUNCTION("IMPORTRANGE(""https://docs.google.com/spreadsheets/d/1SX6NBoVAgQJ6U1MVXOaj8PK2l7WJ3RER9xtqwdhxkhw/edit?usp=sharing"",""ปทุมธานี!I475"")"),0)</f>
        <v>0</v>
      </c>
      <c r="J580" s="371">
        <f ca="1">IFERROR(__xludf.DUMMYFUNCTION("IMPORTRANGE(""https://docs.google.com/spreadsheets/d/1SX6NBoVAgQJ6U1MVXOaj8PK2l7WJ3RER9xtqwdhxkhw/edit?usp=sharing"",""ปทุมธานี!J475"")"),0)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IFERROR(__xludf.DUMMYFUNCTION("IMPORTRANGE(""https://docs.google.com/spreadsheets/d/1SX6NBoVAgQJ6U1MVXOaj8PK2l7WJ3RER9xtqwdhxkhw/edit?usp=sharing"",""ปทุมธานี!L475"")"),0)</f>
        <v>0</v>
      </c>
      <c r="M580" s="373"/>
      <c r="N580" s="373">
        <f ca="1">IFERROR(__xludf.DUMMYFUNCTION("IMPORTRANGE(""https://docs.google.com/spreadsheets/d/1SX6NBoVAgQJ6U1MVXOaj8PK2l7WJ3RER9xtqwdhxkhw/edit?usp=sharing"",""ปทุมธานี!M475"")"),0)</f>
        <v>0</v>
      </c>
      <c r="O580" s="373">
        <f t="shared" ref="O580:O584" ca="1" si="120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IFERROR(__xludf.DUMMYFUNCTION("IMPORTRANGE(""https://docs.google.com/spreadsheets/d/1SX6NBoVAgQJ6U1MVXOaj8PK2l7WJ3RER9xtqwdhxkhw/edit?usp=sharing"",""ปทุมธานี!L476"")"),0)</f>
        <v>0</v>
      </c>
      <c r="M581" s="164"/>
      <c r="N581" s="169">
        <f ca="1">IFERROR(__xludf.DUMMYFUNCTION("IMPORTRANGE(""https://docs.google.com/spreadsheets/d/1SX6NBoVAgQJ6U1MVXOaj8PK2l7WJ3RER9xtqwdhxkhw/edit?usp=sharing"",""ปทุมธานี!M476"")"),0)</f>
        <v>0</v>
      </c>
      <c r="O581" s="169">
        <f t="shared" ca="1" si="120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IFERROR(__xludf.DUMMYFUNCTION("IMPORTRANGE(""https://docs.google.com/spreadsheets/d/1SX6NBoVAgQJ6U1MVXOaj8PK2l7WJ3RER9xtqwdhxkhw/edit?usp=sharing"",""ปทุมธานี!L477"")"),0)</f>
        <v>0</v>
      </c>
      <c r="M582" s="165"/>
      <c r="N582" s="169">
        <f ca="1">IFERROR(__xludf.DUMMYFUNCTION("IMPORTRANGE(""https://docs.google.com/spreadsheets/d/1SX6NBoVAgQJ6U1MVXOaj8PK2l7WJ3RER9xtqwdhxkhw/edit?usp=sharing"",""ปทุมธานี!M477"")"),0)</f>
        <v>0</v>
      </c>
      <c r="O582" s="169">
        <f t="shared" ca="1" si="120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IFERROR(__xludf.DUMMYFUNCTION("IMPORTRANGE(""https://docs.google.com/spreadsheets/d/1SX6NBoVAgQJ6U1MVXOaj8PK2l7WJ3RER9xtqwdhxkhw/edit?usp=sharing"",""ปทุมธานี!L478"")"),0)</f>
        <v>0</v>
      </c>
      <c r="M583" s="169"/>
      <c r="N583" s="169">
        <f ca="1">IFERROR(__xludf.DUMMYFUNCTION("IMPORTRANGE(""https://docs.google.com/spreadsheets/d/1SX6NBoVAgQJ6U1MVXOaj8PK2l7WJ3RER9xtqwdhxkhw/edit?usp=sharing"",""ปทุมธานี!M478"")"),0)</f>
        <v>0</v>
      </c>
      <c r="O583" s="169">
        <f t="shared" ca="1" si="120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IFERROR(__xludf.DUMMYFUNCTION("IMPORTRANGE(""https://docs.google.com/spreadsheets/d/1SX6NBoVAgQJ6U1MVXOaj8PK2l7WJ3RER9xtqwdhxkhw/edit?usp=sharing"",""ปทุมธานี!L479"")"),0)</f>
        <v>0</v>
      </c>
      <c r="M584" s="169"/>
      <c r="N584" s="169">
        <f ca="1">IFERROR(__xludf.DUMMYFUNCTION("IMPORTRANGE(""https://docs.google.com/spreadsheets/d/1SX6NBoVAgQJ6U1MVXOaj8PK2l7WJ3RER9xtqwdhxkhw/edit?usp=sharing"",""ปทุมธานี!M479"")"),0)</f>
        <v>0</v>
      </c>
      <c r="O584" s="169">
        <f t="shared" ca="1" si="120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IFERROR(__xludf.DUMMYFUNCTION("IMPORTRANGE(""https://docs.google.com/spreadsheets/d/1SX6NBoVAgQJ6U1MVXOaj8PK2l7WJ3RER9xtqwdhxkhw/edit?usp=sharing"",""ปทุมธานี!M480"")"),0)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IFERROR(__xludf.DUMMYFUNCTION("IMPORTRANGE(""https://docs.google.com/spreadsheets/d/1SX6NBoVAgQJ6U1MVXOaj8PK2l7WJ3RER9xtqwdhxkhw/edit?usp=sharing"",""ปทุมธานี!M481"")"),0)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IFERROR(__xludf.DUMMYFUNCTION("IMPORTRANGE(""https://docs.google.com/spreadsheets/d/1SX6NBoVAgQJ6U1MVXOaj8PK2l7WJ3RER9xtqwdhxkhw/edit?usp=sharing"",""ปทุมธานี!M482"")"),0)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IFERROR(__xludf.DUMMYFUNCTION("IMPORTRANGE(""https://docs.google.com/spreadsheets/d/1SX6NBoVAgQJ6U1MVXOaj8PK2l7WJ3RER9xtqwdhxkhw/edit?usp=sharing"",""ปทุมธานี!M483"")"),0)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IFERROR(__xludf.DUMMYFUNCTION("IMPORTRANGE(""https://docs.google.com/spreadsheets/d/1SX6NBoVAgQJ6U1MVXOaj8PK2l7WJ3RER9xtqwdhxkhw/edit?usp=sharing"",""ปทุมธานี!I484"")"),0)</f>
        <v>0</v>
      </c>
      <c r="J589" s="188">
        <f ca="1">IFERROR(__xludf.DUMMYFUNCTION("IMPORTRANGE(""https://docs.google.com/spreadsheets/d/1SX6NBoVAgQJ6U1MVXOaj8PK2l7WJ3RER9xtqwdhxkhw/edit?usp=sharing"",""ปทุมธานี!J484"")"),0)</f>
        <v>0</v>
      </c>
      <c r="K589" s="163">
        <f t="shared" ref="K589:K596" ca="1" si="121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IFERROR(__xludf.DUMMYFUNCTION("IMPORTRANGE(""https://docs.google.com/spreadsheets/d/1SX6NBoVAgQJ6U1MVXOaj8PK2l7WJ3RER9xtqwdhxkhw/edit?usp=sharing"",""ปทุมธานี!I485"")"),0)</f>
        <v>0</v>
      </c>
      <c r="J590" s="188">
        <f ca="1">IFERROR(__xludf.DUMMYFUNCTION("IMPORTRANGE(""https://docs.google.com/spreadsheets/d/1SX6NBoVAgQJ6U1MVXOaj8PK2l7WJ3RER9xtqwdhxkhw/edit?usp=sharing"",""ปทุมธานี!J485"")"),0)</f>
        <v>0</v>
      </c>
      <c r="K590" s="479">
        <f t="shared" ca="1" si="121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IFERROR(__xludf.DUMMYFUNCTION("IMPORTRANGE(""https://docs.google.com/spreadsheets/d/1SX6NBoVAgQJ6U1MVXOaj8PK2l7WJ3RER9xtqwdhxkhw/edit?usp=sharing"",""ปทุมธานี!I486"")"),0)</f>
        <v>0</v>
      </c>
      <c r="J591" s="188">
        <f ca="1">IFERROR(__xludf.DUMMYFUNCTION("IMPORTRANGE(""https://docs.google.com/spreadsheets/d/1SX6NBoVAgQJ6U1MVXOaj8PK2l7WJ3RER9xtqwdhxkhw/edit?usp=sharing"",""ปทุมธานี!J486"")"),0)</f>
        <v>0</v>
      </c>
      <c r="K591" s="163">
        <f t="shared" ca="1" si="121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IFERROR(__xludf.DUMMYFUNCTION("IMPORTRANGE(""https://docs.google.com/spreadsheets/d/1SX6NBoVAgQJ6U1MVXOaj8PK2l7WJ3RER9xtqwdhxkhw/edit?usp=sharing"",""ปทุมธานี!I487"")"),0)</f>
        <v>0</v>
      </c>
      <c r="J592" s="188">
        <f ca="1">IFERROR(__xludf.DUMMYFUNCTION("IMPORTRANGE(""https://docs.google.com/spreadsheets/d/1SX6NBoVAgQJ6U1MVXOaj8PK2l7WJ3RER9xtqwdhxkhw/edit?usp=sharing"",""ปทุมธานี!J487"")"),0)</f>
        <v>0</v>
      </c>
      <c r="K592" s="342">
        <f t="shared" ca="1" si="121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IFERROR(__xludf.DUMMYFUNCTION("IMPORTRANGE(""https://docs.google.com/spreadsheets/d/1SX6NBoVAgQJ6U1MVXOaj8PK2l7WJ3RER9xtqwdhxkhw/edit?usp=sharing"",""ปทุมธานี!I488"")"),0)</f>
        <v>0</v>
      </c>
      <c r="J593" s="188">
        <f ca="1">IFERROR(__xludf.DUMMYFUNCTION("IMPORTRANGE(""https://docs.google.com/spreadsheets/d/1SX6NBoVAgQJ6U1MVXOaj8PK2l7WJ3RER9xtqwdhxkhw/edit?usp=sharing"",""ปทุมธานี!J488"")"),0)</f>
        <v>0</v>
      </c>
      <c r="K593" s="163">
        <f t="shared" ca="1" si="121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IFERROR(__xludf.DUMMYFUNCTION("IMPORTRANGE(""https://docs.google.com/spreadsheets/d/1SX6NBoVAgQJ6U1MVXOaj8PK2l7WJ3RER9xtqwdhxkhw/edit?usp=sharing"",""ปทุมธานี!I489"")"),0)</f>
        <v>0</v>
      </c>
      <c r="J594" s="188">
        <f ca="1">IFERROR(__xludf.DUMMYFUNCTION("IMPORTRANGE(""https://docs.google.com/spreadsheets/d/1SX6NBoVAgQJ6U1MVXOaj8PK2l7WJ3RER9xtqwdhxkhw/edit?usp=sharing"",""ปทุมธานี!J489"")"),0)</f>
        <v>0</v>
      </c>
      <c r="K594" s="342">
        <f t="shared" ca="1" si="121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IFERROR(__xludf.DUMMYFUNCTION("IMPORTRANGE(""https://docs.google.com/spreadsheets/d/1SX6NBoVAgQJ6U1MVXOaj8PK2l7WJ3RER9xtqwdhxkhw/edit?usp=sharing"",""ปทุมธานี!I490"")"),0)</f>
        <v>0</v>
      </c>
      <c r="J595" s="188">
        <f ca="1">IFERROR(__xludf.DUMMYFUNCTION("IMPORTRANGE(""https://docs.google.com/spreadsheets/d/1SX6NBoVAgQJ6U1MVXOaj8PK2l7WJ3RER9xtqwdhxkhw/edit?usp=sharing"",""ปทุมธานี!J490"")"),0)</f>
        <v>0</v>
      </c>
      <c r="K595" s="163">
        <f t="shared" ca="1" si="121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IFERROR(__xludf.DUMMYFUNCTION("IMPORTRANGE(""https://docs.google.com/spreadsheets/d/1SX6NBoVAgQJ6U1MVXOaj8PK2l7WJ3RER9xtqwdhxkhw/edit?usp=sharing"",""ปทุมธานี!I491"")"),0)</f>
        <v>0</v>
      </c>
      <c r="J596" s="241">
        <f ca="1">IFERROR(__xludf.DUMMYFUNCTION("IMPORTRANGE(""https://docs.google.com/spreadsheets/d/1SX6NBoVAgQJ6U1MVXOaj8PK2l7WJ3RER9xtqwdhxkhw/edit?usp=sharing"",""ปทุมธานี!J491"")"),0)</f>
        <v>0</v>
      </c>
      <c r="K596" s="486">
        <f t="shared" ca="1" si="121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IFERROR(__xludf.DUMMYFUNCTION("IMPORTRANGE(""https://docs.google.com/spreadsheets/d/1SX6NBoVAgQJ6U1MVXOaj8PK2l7WJ3RER9xtqwdhxkhw/edit?usp=sharing"",""ปทุมธานี!I492"")"),100)</f>
        <v>100</v>
      </c>
      <c r="J597" s="487">
        <f ca="1">IFERROR(__xludf.DUMMYFUNCTION("IMPORTRANGE(""https://docs.google.com/spreadsheets/d/1SX6NBoVAgQJ6U1MVXOaj8PK2l7WJ3RER9xtqwdhxkhw/edit?usp=sharing"",""ปทุมธานี!J492"")"),0)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IFERROR(__xludf.DUMMYFUNCTION("IMPORTRANGE(""https://docs.google.com/spreadsheets/d/1SX6NBoVAgQJ6U1MVXOaj8PK2l7WJ3RER9xtqwdhxkhw/edit?usp=sharing"",""ปทุมธานี!L492"")"),7300)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IFERROR(__xludf.DUMMYFUNCTION("IMPORTRANGE(""https://docs.google.com/spreadsheets/d/1SX6NBoVAgQJ6U1MVXOaj8PK2l7WJ3RER9xtqwdhxkhw/edit?usp=sharing"",""ปทุมธานี!M492"")"),1460)</f>
        <v>1460</v>
      </c>
      <c r="O597" s="412">
        <f t="shared" ref="O597:O601" ca="1" si="122">+IF(L597&gt;0,N597*100/L597,0)</f>
        <v>20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IFERROR(__xludf.DUMMYFUNCTION("IMPORTRANGE(""https://docs.google.com/spreadsheets/d/1SX6NBoVAgQJ6U1MVXOaj8PK2l7WJ3RER9xtqwdhxkhw/edit?usp=sharing"",""ปทุมธานี!L493"")"),0)</f>
        <v>0</v>
      </c>
      <c r="M598" s="164"/>
      <c r="N598" s="169">
        <f ca="1">IFERROR(__xludf.DUMMYFUNCTION("IMPORTRANGE(""https://docs.google.com/spreadsheets/d/1SX6NBoVAgQJ6U1MVXOaj8PK2l7WJ3RER9xtqwdhxkhw/edit?usp=sharing"",""ปทุมธานี!M493"")"),0)</f>
        <v>0</v>
      </c>
      <c r="O598" s="169">
        <f t="shared" ca="1" si="122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IFERROR(__xludf.DUMMYFUNCTION("IMPORTRANGE(""https://docs.google.com/spreadsheets/d/1SX6NBoVAgQJ6U1MVXOaj8PK2l7WJ3RER9xtqwdhxkhw/edit?usp=sharing"",""ปทุมธานี!L494"")"),7300)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IFERROR(__xludf.DUMMYFUNCTION("IMPORTRANGE(""https://docs.google.com/spreadsheets/d/1SX6NBoVAgQJ6U1MVXOaj8PK2l7WJ3RER9xtqwdhxkhw/edit?usp=sharing"",""ปทุมธานี!M494"")"),1460)</f>
        <v>1460</v>
      </c>
      <c r="O599" s="169">
        <f t="shared" ca="1" si="122"/>
        <v>20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IFERROR(__xludf.DUMMYFUNCTION("IMPORTRANGE(""https://docs.google.com/spreadsheets/d/1SX6NBoVAgQJ6U1MVXOaj8PK2l7WJ3RER9xtqwdhxkhw/edit?usp=sharing"",""ปทุมธานี!L495"")"),0)</f>
        <v>0</v>
      </c>
      <c r="M600" s="169"/>
      <c r="N600" s="169">
        <f ca="1">IFERROR(__xludf.DUMMYFUNCTION("IMPORTRANGE(""https://docs.google.com/spreadsheets/d/1SX6NBoVAgQJ6U1MVXOaj8PK2l7WJ3RER9xtqwdhxkhw/edit?usp=sharing"",""ปทุมธานี!M495"")"),0)</f>
        <v>0</v>
      </c>
      <c r="O600" s="169">
        <f t="shared" ca="1" si="122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IFERROR(__xludf.DUMMYFUNCTION("IMPORTRANGE(""https://docs.google.com/spreadsheets/d/1SX6NBoVAgQJ6U1MVXOaj8PK2l7WJ3RER9xtqwdhxkhw/edit?usp=sharing"",""ปทุมธานี!L496"")"),7300)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IFERROR(__xludf.DUMMYFUNCTION("IMPORTRANGE(""https://docs.google.com/spreadsheets/d/1SX6NBoVAgQJ6U1MVXOaj8PK2l7WJ3RER9xtqwdhxkhw/edit?usp=sharing"",""ปทุมธานี!M496"")"),1460)</f>
        <v>1460</v>
      </c>
      <c r="O601" s="169">
        <f t="shared" ca="1" si="122"/>
        <v>20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IFERROR(__xludf.DUMMYFUNCTION("IMPORTRANGE(""https://docs.google.com/spreadsheets/d/1SX6NBoVAgQJ6U1MVXOaj8PK2l7WJ3RER9xtqwdhxkhw/edit?usp=sharing"",""ปทุมธานี!M497"")"),0)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IFERROR(__xludf.DUMMYFUNCTION("IMPORTRANGE(""https://docs.google.com/spreadsheets/d/1SX6NBoVAgQJ6U1MVXOaj8PK2l7WJ3RER9xtqwdhxkhw/edit?usp=sharing"",""ปทุมธานี!M498"")"),0)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IFERROR(__xludf.DUMMYFUNCTION("IMPORTRANGE(""https://docs.google.com/spreadsheets/d/1SX6NBoVAgQJ6U1MVXOaj8PK2l7WJ3RER9xtqwdhxkhw/edit?usp=sharing"",""ปทุมธานี!M499"")"),0)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IFERROR(__xludf.DUMMYFUNCTION("IMPORTRANGE(""https://docs.google.com/spreadsheets/d/1SX6NBoVAgQJ6U1MVXOaj8PK2l7WJ3RER9xtqwdhxkhw/edit?usp=sharing"",""ปทุมธานี!M500"")"),1460)</f>
        <v>1460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IFERROR(__xludf.DUMMYFUNCTION("IMPORTRANGE(""https://docs.google.com/spreadsheets/d/1SX6NBoVAgQJ6U1MVXOaj8PK2l7WJ3RER9xtqwdhxkhw/edit?usp=sharing"",""ปทุมธานี!J502"")"),0)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IFERROR(__xludf.DUMMYFUNCTION("IMPORTRANGE(""https://docs.google.com/spreadsheets/d/1SX6NBoVAgQJ6U1MVXOaj8PK2l7WJ3RER9xtqwdhxkhw/edit?usp=sharing"",""ปทุมธานี!J503"")"),1)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IFERROR(__xludf.DUMMYFUNCTION("IMPORTRANGE(""https://docs.google.com/spreadsheets/d/1SX6NBoVAgQJ6U1MVXOaj8PK2l7WJ3RER9xtqwdhxkhw/edit?usp=sharing"",""ปทุมธานี!J166"")"),0)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IFERROR(__xludf.DUMMYFUNCTION("IMPORTRANGE(""https://docs.google.com/spreadsheets/d/1SX6NBoVAgQJ6U1MVXOaj8PK2l7WJ3RER9xtqwdhxkhw/edit?usp=sharing"",""ปทุมธานี!J166"")"),0)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IFERROR(__xludf.DUMMYFUNCTION("IMPORTRANGE(""https://docs.google.com/spreadsheets/d/1SX6NBoVAgQJ6U1MVXOaj8PK2l7WJ3RER9xtqwdhxkhw/edit?usp=sharing"",""ปทุมธานี!I506"")"),100)</f>
        <v>100</v>
      </c>
      <c r="J611" s="162">
        <f ca="1">IFERROR(__xludf.DUMMYFUNCTION("IMPORTRANGE(""https://docs.google.com/spreadsheets/d/1SX6NBoVAgQJ6U1MVXOaj8PK2l7WJ3RER9xtqwdhxkhw/edit?usp=sharing"",""ปทุมธานี!J506"")"),0)</f>
        <v>0</v>
      </c>
      <c r="K611" s="163">
        <f t="shared" ref="K611:K619" ca="1" si="123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IFERROR(__xludf.DUMMYFUNCTION("IMPORTRANGE(""https://docs.google.com/spreadsheets/d/1SX6NBoVAgQJ6U1MVXOaj8PK2l7WJ3RER9xtqwdhxkhw/edit?usp=sharing"",""ปทุมธานี!I507"")"),0)</f>
        <v>0</v>
      </c>
      <c r="J612" s="198">
        <f ca="1">IFERROR(__xludf.DUMMYFUNCTION("IMPORTRANGE(""https://docs.google.com/spreadsheets/d/1SX6NBoVAgQJ6U1MVXOaj8PK2l7WJ3RER9xtqwdhxkhw/edit?usp=sharing"",""ปทุมธานี!J507"")"),84)</f>
        <v>84</v>
      </c>
      <c r="K612" s="163">
        <f t="shared" ca="1" si="123"/>
        <v>84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IFERROR(__xludf.DUMMYFUNCTION("IMPORTRANGE(""https://docs.google.com/spreadsheets/d/1SX6NBoVAgQJ6U1MVXOaj8PK2l7WJ3RER9xtqwdhxkhw/edit?usp=sharing"",""ปทุมธานี!I508"")"),0)</f>
        <v>0</v>
      </c>
      <c r="J613" s="198">
        <f ca="1">IFERROR(__xludf.DUMMYFUNCTION("IMPORTRANGE(""https://docs.google.com/spreadsheets/d/1SX6NBoVAgQJ6U1MVXOaj8PK2l7WJ3RER9xtqwdhxkhw/edit?usp=sharing"",""ปทุมธานี!J508"")"),84)</f>
        <v>84</v>
      </c>
      <c r="K613" s="163">
        <f t="shared" ca="1" si="123"/>
        <v>84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IFERROR(__xludf.DUMMYFUNCTION("IMPORTRANGE(""https://docs.google.com/spreadsheets/d/1SX6NBoVAgQJ6U1MVXOaj8PK2l7WJ3RER9xtqwdhxkhw/edit?usp=sharing"",""ปทุมธานี!I509"")"),0)</f>
        <v>0</v>
      </c>
      <c r="J614" s="198">
        <f ca="1">IFERROR(__xludf.DUMMYFUNCTION("IMPORTRANGE(""https://docs.google.com/spreadsheets/d/1SX6NBoVAgQJ6U1MVXOaj8PK2l7WJ3RER9xtqwdhxkhw/edit?usp=sharing"",""ปทุมธานี!J509"")"),84)</f>
        <v>84</v>
      </c>
      <c r="K614" s="163">
        <f t="shared" ca="1" si="123"/>
        <v>84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IFERROR(__xludf.DUMMYFUNCTION("IMPORTRANGE(""https://docs.google.com/spreadsheets/d/1SX6NBoVAgQJ6U1MVXOaj8PK2l7WJ3RER9xtqwdhxkhw/edit?usp=sharing"",""ปทุมธานี!I510"")"),0)</f>
        <v>0</v>
      </c>
      <c r="J615" s="198">
        <f ca="1">IFERROR(__xludf.DUMMYFUNCTION("IMPORTRANGE(""https://docs.google.com/spreadsheets/d/1SX6NBoVAgQJ6U1MVXOaj8PK2l7WJ3RER9xtqwdhxkhw/edit?usp=sharing"",""ปทุมธานี!J510"")"),84)</f>
        <v>84</v>
      </c>
      <c r="K615" s="163">
        <f t="shared" ca="1" si="123"/>
        <v>84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IFERROR(__xludf.DUMMYFUNCTION("IMPORTRANGE(""https://docs.google.com/spreadsheets/d/1SX6NBoVAgQJ6U1MVXOaj8PK2l7WJ3RER9xtqwdhxkhw/edit?usp=sharing"",""ปทุมธานี!I511"")"),0)</f>
        <v>0</v>
      </c>
      <c r="J616" s="198">
        <f ca="1">IFERROR(__xludf.DUMMYFUNCTION("IMPORTRANGE(""https://docs.google.com/spreadsheets/d/1SX6NBoVAgQJ6U1MVXOaj8PK2l7WJ3RER9xtqwdhxkhw/edit?usp=sharing"",""ปทุมธานี!J511"")"),0)</f>
        <v>0</v>
      </c>
      <c r="K616" s="163">
        <f t="shared" ca="1" si="123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IFERROR(__xludf.DUMMYFUNCTION("IMPORTRANGE(""https://docs.google.com/spreadsheets/d/1SX6NBoVAgQJ6U1MVXOaj8PK2l7WJ3RER9xtqwdhxkhw/edit?usp=sharing"",""ปทุมธานี!I512"")"),0)</f>
        <v>0</v>
      </c>
      <c r="J617" s="188">
        <f ca="1">IFERROR(__xludf.DUMMYFUNCTION("IMPORTRANGE(""https://docs.google.com/spreadsheets/d/1SX6NBoVAgQJ6U1MVXOaj8PK2l7WJ3RER9xtqwdhxkhw/edit?usp=sharing"",""ปทุมธานี!J512"")"),0)</f>
        <v>0</v>
      </c>
      <c r="K617" s="163">
        <f t="shared" ca="1" si="123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IFERROR(__xludf.DUMMYFUNCTION("IMPORTRANGE(""https://docs.google.com/spreadsheets/d/1SX6NBoVAgQJ6U1MVXOaj8PK2l7WJ3RER9xtqwdhxkhw/edit?usp=sharing"",""ปทุมธานี!I513"")"),0)</f>
        <v>0</v>
      </c>
      <c r="J618" s="189">
        <f ca="1">IFERROR(__xludf.DUMMYFUNCTION("IMPORTRANGE(""https://docs.google.com/spreadsheets/d/1SX6NBoVAgQJ6U1MVXOaj8PK2l7WJ3RER9xtqwdhxkhw/edit?usp=sharing"",""ปทุมธานี!J513"")"),0)</f>
        <v>0</v>
      </c>
      <c r="K618" s="163">
        <f t="shared" ca="1" si="123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IFERROR(__xludf.DUMMYFUNCTION("IMPORTRANGE(""https://docs.google.com/spreadsheets/d/1SX6NBoVAgQJ6U1MVXOaj8PK2l7WJ3RER9xtqwdhxkhw/edit?usp=sharing"",""ปทุมธานี!I514"")"),0)</f>
        <v>0</v>
      </c>
      <c r="J619" s="189">
        <f ca="1">IFERROR(__xludf.DUMMYFUNCTION("IMPORTRANGE(""https://docs.google.com/spreadsheets/d/1SX6NBoVAgQJ6U1MVXOaj8PK2l7WJ3RER9xtqwdhxkhw/edit?usp=sharing"",""ปทุมธานี!J514"")"),0)</f>
        <v>0</v>
      </c>
      <c r="K619" s="163">
        <f t="shared" ca="1" si="123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IFERROR(__xludf.DUMMYFUNCTION("IMPORTRANGE(""https://docs.google.com/spreadsheets/d/1SX6NBoVAgQJ6U1MVXOaj8PK2l7WJ3RER9xtqwdhxkhw/edit?usp=sharing"",""ปทุมธานี!I515"")"),0)</f>
        <v>0</v>
      </c>
      <c r="J620" s="203">
        <f ca="1">IFERROR(__xludf.DUMMYFUNCTION("IMPORTRANGE(""https://docs.google.com/spreadsheets/d/1SX6NBoVAgQJ6U1MVXOaj8PK2l7WJ3RER9xtqwdhxkhw/edit?usp=sharing"",""ปทุมธานี!J515"")"),0)</f>
        <v>0</v>
      </c>
      <c r="K620" s="163">
        <f t="shared" ref="K620:K626" ca="1" si="124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IFERROR(__xludf.DUMMYFUNCTION("IMPORTRANGE(""https://docs.google.com/spreadsheets/d/1SX6NBoVAgQJ6U1MVXOaj8PK2l7WJ3RER9xtqwdhxkhw/edit?usp=sharing"",""ปทุมธานี!I516"")"),0)</f>
        <v>0</v>
      </c>
      <c r="J621" s="203">
        <f ca="1">IFERROR(__xludf.DUMMYFUNCTION("IMPORTRANGE(""https://docs.google.com/spreadsheets/d/1SX6NBoVAgQJ6U1MVXOaj8PK2l7WJ3RER9xtqwdhxkhw/edit?usp=sharing"",""ปทุมธานี!J516"")"),0)</f>
        <v>0</v>
      </c>
      <c r="K621" s="163">
        <f t="shared" ca="1" si="124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IFERROR(__xludf.DUMMYFUNCTION("IMPORTRANGE(""https://docs.google.com/spreadsheets/d/1SX6NBoVAgQJ6U1MVXOaj8PK2l7WJ3RER9xtqwdhxkhw/edit?usp=sharing"",""ปทุมธานี!I517"")"),0)</f>
        <v>0</v>
      </c>
      <c r="J622" s="189">
        <f ca="1">IFERROR(__xludf.DUMMYFUNCTION("IMPORTRANGE(""https://docs.google.com/spreadsheets/d/1SX6NBoVAgQJ6U1MVXOaj8PK2l7WJ3RER9xtqwdhxkhw/edit?usp=sharing"",""ปทุมธานี!J517"")"),0)</f>
        <v>0</v>
      </c>
      <c r="K622" s="163">
        <f t="shared" ca="1" si="124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IFERROR(__xludf.DUMMYFUNCTION("IMPORTRANGE(""https://docs.google.com/spreadsheets/d/1SX6NBoVAgQJ6U1MVXOaj8PK2l7WJ3RER9xtqwdhxkhw/edit?usp=sharing"",""ปทุมธานี!I518"")"),0)</f>
        <v>0</v>
      </c>
      <c r="J623" s="189">
        <f ca="1">IFERROR(__xludf.DUMMYFUNCTION("IMPORTRANGE(""https://docs.google.com/spreadsheets/d/1SX6NBoVAgQJ6U1MVXOaj8PK2l7WJ3RER9xtqwdhxkhw/edit?usp=sharing"",""ปทุมธานี!J518"")"),0)</f>
        <v>0</v>
      </c>
      <c r="K623" s="163">
        <f t="shared" ca="1" si="124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IFERROR(__xludf.DUMMYFUNCTION("IMPORTRANGE(""https://docs.google.com/spreadsheets/d/1SX6NBoVAgQJ6U1MVXOaj8PK2l7WJ3RER9xtqwdhxkhw/edit?usp=sharing"",""ปทุมธานี!I519"")"),0)</f>
        <v>0</v>
      </c>
      <c r="J624" s="188">
        <f ca="1">IFERROR(__xludf.DUMMYFUNCTION("IMPORTRANGE(""https://docs.google.com/spreadsheets/d/1SX6NBoVAgQJ6U1MVXOaj8PK2l7WJ3RER9xtqwdhxkhw/edit?usp=sharing"",""ปทุมธานี!J519"")"),0)</f>
        <v>0</v>
      </c>
      <c r="K624" s="163">
        <f t="shared" ca="1" si="124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IFERROR(__xludf.DUMMYFUNCTION("IMPORTRANGE(""https://docs.google.com/spreadsheets/d/1SX6NBoVAgQJ6U1MVXOaj8PK2l7WJ3RER9xtqwdhxkhw/edit?usp=sharing"",""ปทุมธานี!I520"")"),0)</f>
        <v>0</v>
      </c>
      <c r="J625" s="189">
        <f ca="1">IFERROR(__xludf.DUMMYFUNCTION("IMPORTRANGE(""https://docs.google.com/spreadsheets/d/1SX6NBoVAgQJ6U1MVXOaj8PK2l7WJ3RER9xtqwdhxkhw/edit?usp=sharing"",""ปทุมธานี!J520"")"),0)</f>
        <v>0</v>
      </c>
      <c r="K625" s="163">
        <f t="shared" ca="1" si="124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IFERROR(__xludf.DUMMYFUNCTION("IMPORTRANGE(""https://docs.google.com/spreadsheets/d/1SX6NBoVAgQJ6U1MVXOaj8PK2l7WJ3RER9xtqwdhxkhw/edit?usp=sharing"",""ปทุมธานี!I521"")"),0)</f>
        <v>0</v>
      </c>
      <c r="J626" s="189">
        <f ca="1">IFERROR(__xludf.DUMMYFUNCTION("IMPORTRANGE(""https://docs.google.com/spreadsheets/d/1SX6NBoVAgQJ6U1MVXOaj8PK2l7WJ3RER9xtqwdhxkhw/edit?usp=sharing"",""ปทุมธานี!J521"")"),0)</f>
        <v>0</v>
      </c>
      <c r="K626" s="163">
        <f t="shared" ca="1" si="124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IFERROR(__xludf.DUMMYFUNCTION("IMPORTRANGE(""https://docs.google.com/spreadsheets/d/1SX6NBoVAgQJ6U1MVXOaj8PK2l7WJ3RER9xtqwdhxkhw/edit?usp=sharing"",""ปทุมธานี!I523"")"),1040000)</f>
        <v>1040000</v>
      </c>
      <c r="J628" s="341">
        <f ca="1">IFERROR(__xludf.DUMMYFUNCTION("IMPORTRANGE(""https://docs.google.com/spreadsheets/d/1SX6NBoVAgQJ6U1MVXOaj8PK2l7WJ3RER9xtqwdhxkhw/edit?usp=sharing"",""ปทุมธานี!J523"")"),180000)</f>
        <v>180000</v>
      </c>
      <c r="K628" s="342">
        <f t="shared" ref="K628:K635" ca="1" si="125">IF(I628&gt;0,J628*100/I628,0)</f>
        <v>17.307692307692307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IFERROR(__xludf.DUMMYFUNCTION("IMPORTRANGE(""https://docs.google.com/spreadsheets/d/1SX6NBoVAgQJ6U1MVXOaj8PK2l7WJ3RER9xtqwdhxkhw/edit?usp=sharing"",""ปทุมธานี!I524"")"),36)</f>
        <v>36</v>
      </c>
      <c r="J629" s="341">
        <f ca="1">IFERROR(__xludf.DUMMYFUNCTION("IMPORTRANGE(""https://docs.google.com/spreadsheets/d/1SX6NBoVAgQJ6U1MVXOaj8PK2l7WJ3RER9xtqwdhxkhw/edit?usp=sharing"",""ปทุมธานี!J524"")"),7)</f>
        <v>7</v>
      </c>
      <c r="K629" s="342">
        <f t="shared" ca="1" si="125"/>
        <v>19.444444444444443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IFERROR(__xludf.DUMMYFUNCTION("IMPORTRANGE(""https://docs.google.com/spreadsheets/d/1SX6NBoVAgQJ6U1MVXOaj8PK2l7WJ3RER9xtqwdhxkhw/edit?usp=sharing"",""ปทุมธานี!I525"")"),137492.79)</f>
        <v>137492.79</v>
      </c>
      <c r="J630" s="341">
        <f ca="1">IFERROR(__xludf.DUMMYFUNCTION("IMPORTRANGE(""https://docs.google.com/spreadsheets/d/1SX6NBoVAgQJ6U1MVXOaj8PK2l7WJ3RER9xtqwdhxkhw/edit?usp=sharing"",""ปทุมธานี!J525"")"),4999.64)</f>
        <v>4999.6400000000003</v>
      </c>
      <c r="K630" s="342">
        <f t="shared" ca="1" si="125"/>
        <v>3.6362924921372244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IFERROR(__xludf.DUMMYFUNCTION("IMPORTRANGE(""https://docs.google.com/spreadsheets/d/1SX6NBoVAgQJ6U1MVXOaj8PK2l7WJ3RER9xtqwdhxkhw/edit?usp=sharing"",""ปทุมธานี!I526"")"),4)</f>
        <v>4</v>
      </c>
      <c r="J631" s="341">
        <f ca="1">IFERROR(__xludf.DUMMYFUNCTION("IMPORTRANGE(""https://docs.google.com/spreadsheets/d/1SX6NBoVAgQJ6U1MVXOaj8PK2l7WJ3RER9xtqwdhxkhw/edit?usp=sharing"",""ปทุมธานี!J526"")"),1)</f>
        <v>1</v>
      </c>
      <c r="K631" s="342">
        <f t="shared" ca="1" si="125"/>
        <v>25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IFERROR(__xludf.DUMMYFUNCTION("IMPORTRANGE(""https://docs.google.com/spreadsheets/d/1SX6NBoVAgQJ6U1MVXOaj8PK2l7WJ3RER9xtqwdhxkhw/edit?usp=sharing"",""ปทุมธานี!I527"")"),4018939.93)</f>
        <v>4018939.93</v>
      </c>
      <c r="J632" s="341">
        <f ca="1">IFERROR(__xludf.DUMMYFUNCTION("IMPORTRANGE(""https://docs.google.com/spreadsheets/d/1SX6NBoVAgQJ6U1MVXOaj8PK2l7WJ3RER9xtqwdhxkhw/edit?usp=sharing"",""ปทุมธานี!J527"")"),1521050.93)</f>
        <v>1521050.93</v>
      </c>
      <c r="K632" s="342">
        <f t="shared" ca="1" si="125"/>
        <v>37.847068045130001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IFERROR(__xludf.DUMMYFUNCTION("IMPORTRANGE(""https://docs.google.com/spreadsheets/d/1SX6NBoVAgQJ6U1MVXOaj8PK2l7WJ3RER9xtqwdhxkhw/edit?usp=sharing"",""ปทุมธานี!I528"")"),2074)</f>
        <v>2074</v>
      </c>
      <c r="J633" s="341">
        <f ca="1">IFERROR(__xludf.DUMMYFUNCTION("IMPORTRANGE(""https://docs.google.com/spreadsheets/d/1SX6NBoVAgQJ6U1MVXOaj8PK2l7WJ3RER9xtqwdhxkhw/edit?usp=sharing"",""ปทุมธานี!J528"")"),1399)</f>
        <v>1399</v>
      </c>
      <c r="K633" s="342">
        <f t="shared" ca="1" si="125"/>
        <v>67.45419479267116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IFERROR(__xludf.DUMMYFUNCTION("IMPORTRANGE(""https://docs.google.com/spreadsheets/d/1SX6NBoVAgQJ6U1MVXOaj8PK2l7WJ3RER9xtqwdhxkhw/edit?usp=sharing"",""ปทุมธานี!I529"")"),960000)</f>
        <v>960000</v>
      </c>
      <c r="J634" s="341">
        <f ca="1">IFERROR(__xludf.DUMMYFUNCTION("IMPORTRANGE(""https://docs.google.com/spreadsheets/d/1SX6NBoVAgQJ6U1MVXOaj8PK2l7WJ3RER9xtqwdhxkhw/edit?usp=sharing"",""ปทุมธานี!J529"")"),210000)</f>
        <v>210000</v>
      </c>
      <c r="K634" s="342">
        <f t="shared" ca="1" si="125"/>
        <v>21.875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IFERROR(__xludf.DUMMYFUNCTION("IMPORTRANGE(""https://docs.google.com/spreadsheets/d/1SX6NBoVAgQJ6U1MVXOaj8PK2l7WJ3RER9xtqwdhxkhw/edit?usp=sharing"",""ปทุมธานี!I530"")"),33)</f>
        <v>33</v>
      </c>
      <c r="J635" s="504">
        <f ca="1">IFERROR(__xludf.DUMMYFUNCTION("IMPORTRANGE(""https://docs.google.com/spreadsheets/d/1SX6NBoVAgQJ6U1MVXOaj8PK2l7WJ3RER9xtqwdhxkhw/edit?usp=sharing"",""ปทุมธานี!J530"")"),7)</f>
        <v>7</v>
      </c>
      <c r="K635" s="486">
        <f t="shared" ca="1" si="125"/>
        <v>21.212121212121211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G558" sqref="G55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256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2820649</v>
      </c>
      <c r="M8" s="23">
        <f t="shared" ca="1" si="0"/>
        <v>1447585</v>
      </c>
      <c r="N8" s="23">
        <f t="shared" ca="1" si="0"/>
        <v>1686614.9900000002</v>
      </c>
      <c r="O8" s="22">
        <f t="shared" ref="O8:O16" ca="1" si="1">IF(L8&gt;0,N8*100/L8,0)</f>
        <v>59.795280802396903</v>
      </c>
      <c r="P8" s="22">
        <f t="shared" ref="P8:P16" ca="1" si="2">IF(M8&gt;0,N8*100/M8,0)</f>
        <v>116.51232846430436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2820649</v>
      </c>
      <c r="M10" s="30">
        <f t="shared" ca="1" si="4"/>
        <v>1447585</v>
      </c>
      <c r="N10" s="30">
        <f t="shared" ca="1" si="4"/>
        <v>1686614.9900000002</v>
      </c>
      <c r="O10" s="29">
        <f t="shared" ca="1" si="1"/>
        <v>59.795280802396903</v>
      </c>
      <c r="P10" s="29">
        <f t="shared" ca="1" si="2"/>
        <v>116.51232846430436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2673649</v>
      </c>
      <c r="M12" s="38">
        <f t="shared" ca="1" si="6"/>
        <v>1300585</v>
      </c>
      <c r="N12" s="38">
        <f t="shared" ca="1" si="6"/>
        <v>1539614.9900000002</v>
      </c>
      <c r="O12" s="38">
        <f t="shared" ca="1" si="1"/>
        <v>57.584783567326909</v>
      </c>
      <c r="P12" s="38">
        <f t="shared" ca="1" si="2"/>
        <v>118.37865191433089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1294149</v>
      </c>
      <c r="M14" s="38">
        <f t="shared" si="8"/>
        <v>0</v>
      </c>
      <c r="N14" s="38">
        <f t="shared" ca="1" si="8"/>
        <v>730895.89</v>
      </c>
      <c r="O14" s="38">
        <f t="shared" ca="1" si="1"/>
        <v>56.476950490244938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1871070</v>
      </c>
      <c r="M18" s="23">
        <f t="shared" ca="1" si="11"/>
        <v>1447585</v>
      </c>
      <c r="N18" s="23">
        <f t="shared" ca="1" si="11"/>
        <v>955719.10000000009</v>
      </c>
      <c r="O18" s="22">
        <f t="shared" ref="O18:O20" ca="1" si="12">IF(L18&gt;0,N18*100/L18,0)</f>
        <v>51.078746385757889</v>
      </c>
      <c r="P18" s="22">
        <f t="shared" ref="P18:P26" ca="1" si="13">IF(M18&gt;0,N18*100/M18,0)</f>
        <v>66.021622219075226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1871070</v>
      </c>
      <c r="M20" s="30">
        <f t="shared" ca="1" si="15"/>
        <v>1447585</v>
      </c>
      <c r="N20" s="30">
        <f t="shared" ca="1" si="15"/>
        <v>955719.10000000009</v>
      </c>
      <c r="O20" s="29">
        <f t="shared" ca="1" si="12"/>
        <v>51.078746385757889</v>
      </c>
      <c r="P20" s="29">
        <f t="shared" ca="1" si="13"/>
        <v>66.021622219075226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1724070</v>
      </c>
      <c r="M22" s="41">
        <f t="shared" ca="1" si="18"/>
        <v>1300585</v>
      </c>
      <c r="N22" s="38">
        <f t="shared" ca="1" si="18"/>
        <v>808719.10000000009</v>
      </c>
      <c r="O22" s="38">
        <f t="shared" ca="1" si="17"/>
        <v>46.907555957704744</v>
      </c>
      <c r="P22" s="38">
        <f t="shared" ca="1" si="13"/>
        <v>62.181180007458195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1379500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344570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949579</v>
      </c>
      <c r="M28" s="23">
        <f t="shared" si="23"/>
        <v>0</v>
      </c>
      <c r="N28" s="23">
        <f t="shared" ca="1" si="23"/>
        <v>730895.89</v>
      </c>
      <c r="O28" s="22">
        <f t="shared" ref="O28:O30" ca="1" si="24">IF(L28&gt;0,N28*100/L28,0)</f>
        <v>76.970519567092367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949579</v>
      </c>
      <c r="M30" s="30">
        <f t="shared" si="27"/>
        <v>0</v>
      </c>
      <c r="N30" s="30">
        <f t="shared" ca="1" si="27"/>
        <v>730895.89</v>
      </c>
      <c r="O30" s="29">
        <f t="shared" ca="1" si="24"/>
        <v>76.970519567092367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949579</v>
      </c>
      <c r="M32" s="38">
        <f t="shared" si="30"/>
        <v>0</v>
      </c>
      <c r="N32" s="38">
        <f t="shared" ca="1" si="30"/>
        <v>730895.89</v>
      </c>
      <c r="O32" s="38">
        <f t="shared" ca="1" si="29"/>
        <v>76.970519567092367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949579</v>
      </c>
      <c r="M34" s="38">
        <f t="shared" si="32"/>
        <v>0</v>
      </c>
      <c r="N34" s="38">
        <f t="shared" ca="1" si="32"/>
        <v>730895.89</v>
      </c>
      <c r="O34" s="38">
        <f t="shared" ca="1" si="29"/>
        <v>76.970519567092367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1871070</v>
      </c>
      <c r="M37" s="54">
        <f t="shared" ca="1" si="33"/>
        <v>1447585</v>
      </c>
      <c r="N37" s="54">
        <f t="shared" ca="1" si="33"/>
        <v>955719.10000000009</v>
      </c>
      <c r="O37" s="55">
        <f t="shared" ca="1" si="29"/>
        <v>51.078746385757889</v>
      </c>
      <c r="P37" s="55">
        <f t="shared" ca="1" si="25"/>
        <v>66.021622219075226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574400</v>
      </c>
      <c r="M41" s="78">
        <f t="shared" ca="1" si="34"/>
        <v>430900</v>
      </c>
      <c r="N41" s="78">
        <f t="shared" ca="1" si="34"/>
        <v>291265.58</v>
      </c>
      <c r="O41" s="77">
        <f t="shared" ref="O41:O43" ca="1" si="35">IF(L41&gt;0,N41*100/L41,0)</f>
        <v>50.707795961002788</v>
      </c>
      <c r="P41" s="77">
        <f t="shared" ref="P41:P43" ca="1" si="36">IF(M41&gt;0,N41*100/M41,0)</f>
        <v>67.594704107681594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574400</v>
      </c>
      <c r="M43" s="78">
        <f t="shared" ca="1" si="38"/>
        <v>430900</v>
      </c>
      <c r="N43" s="78">
        <f t="shared" ca="1" si="38"/>
        <v>291265.58</v>
      </c>
      <c r="O43" s="77">
        <f t="shared" ca="1" si="35"/>
        <v>50.707795961002788</v>
      </c>
      <c r="P43" s="77">
        <f t="shared" ca="1" si="36"/>
        <v>67.594704107681594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574400</v>
      </c>
      <c r="M45" s="49">
        <f ca="1">IFERROR(__xludf.DUMMYFUNCTION("IMPORTRANGE(""https://docs.google.com/spreadsheets/d/1Yj_ptqi66GCucihVvJfMjLAmec39IyEx_6qawtMGysU/edit?usp=sharing"",""สบก!Q68"")"),430900)</f>
        <v>430900</v>
      </c>
      <c r="N45" s="49">
        <f ca="1">IFERROR(__xludf.DUMMYFUNCTION("IMPORTRANGE(""https://docs.google.com/spreadsheets/d/1Yj_ptqi66GCucihVvJfMjLAmec39IyEx_6qawtMGysU/edit?usp=sharing"",""สบก!R68"")"),291265.58)</f>
        <v>291265.58</v>
      </c>
      <c r="O45" s="38">
        <f ca="1">IF(L45&gt;0,N45*100/L45,0)</f>
        <v>50.707795961002788</v>
      </c>
      <c r="P45" s="38">
        <f ca="1">IF(M45&gt;0,N45*100/M45,0)</f>
        <v>67.594704107681594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IFERROR(__xludf.DUMMYFUNCTION("IMPORTRANGE(""https://docs.google.com/spreadsheets/d/1Yj_ptqi66GCucihVvJfMjLAmec39IyEx_6qawtMGysU/edit?usp=sharing"",""สบก!M68"")"),574400)</f>
        <v>574400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IFERROR(__xludf.DUMMYFUNCTION("IMPORTRANGE(""https://docs.google.com/spreadsheets/d/1Yj_ptqi66GCucihVvJfMjLAmec39IyEx_6qawtMGysU/edit?usp=sharing"",""สบก!N68"")"),0)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IFERROR(__xludf.DUMMYFUNCTION("IMPORTRANGE(""https://docs.google.com/spreadsheets/d/1Yj_ptqi66GCucihVvJfMjLAmec39IyEx_6qawtMGysU/edit?usp=sharing"",""สบก!O68"")"),0)</f>
        <v>0</v>
      </c>
      <c r="M49" s="49"/>
      <c r="N49" s="49">
        <f ca="1">IFERROR(__xludf.DUMMYFUNCTION("IMPORTRANGE(""https://docs.google.com/spreadsheets/d/1Yj_ptqi66GCucihVvJfMjLAmec39IyEx_6qawtMGysU/edit?usp=sharing"",""สบก!S68"")"),0)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238500</v>
      </c>
      <c r="N53" s="121">
        <f t="shared" ca="1" si="39"/>
        <v>143600</v>
      </c>
      <c r="O53" s="120">
        <f t="shared" ref="O53:O55" ca="1" si="40">IF(L53&gt;0,N53*100/L53,0)</f>
        <v>47.866666666666667</v>
      </c>
      <c r="P53" s="120">
        <f t="shared" ref="P53:P55" ca="1" si="41">IF(M53&gt;0,N53*100/M53,0)</f>
        <v>60.209643605870021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238500</v>
      </c>
      <c r="N55" s="121">
        <f t="shared" ca="1" si="43"/>
        <v>143600</v>
      </c>
      <c r="O55" s="120">
        <f t="shared" ca="1" si="40"/>
        <v>47.866666666666667</v>
      </c>
      <c r="P55" s="120">
        <f t="shared" ca="1" si="41"/>
        <v>60.209643605870021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IFERROR(__xludf.DUMMYFUNCTION("IMPORTRANGE(""https://docs.google.com/spreadsheets/d/1Yj_ptqi66GCucihVvJfMjLAmec39IyEx_6qawtMGysU/edit?usp=sharing"",""สบก!Z68"")"),238500)</f>
        <v>238500</v>
      </c>
      <c r="N57" s="49">
        <f ca="1">IFERROR(__xludf.DUMMYFUNCTION("IMPORTRANGE(""https://docs.google.com/spreadsheets/d/1Yj_ptqi66GCucihVvJfMjLAmec39IyEx_6qawtMGysU/edit?usp=sharing"",""สบก!AA68"")"),143600)</f>
        <v>143600</v>
      </c>
      <c r="O57" s="38">
        <f ca="1">IF(L57&gt;0,N57*100/L57,0)</f>
        <v>47.866666666666667</v>
      </c>
      <c r="P57" s="38">
        <f ca="1">IF(M57&gt;0,N57*100/M57,0)</f>
        <v>60.209643605870021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IFERROR(__xludf.DUMMYFUNCTION("IMPORTRANGE(""https://docs.google.com/spreadsheets/d/1Yj_ptqi66GCucihVvJfMjLAmec39IyEx_6qawtMGysU/edit?usp=sharing"",""สบก!V68"")"),300000)</f>
        <v>300000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IFERROR(__xludf.DUMMYFUNCTION("IMPORTRANGE(""https://docs.google.com/spreadsheets/d/1Yj_ptqi66GCucihVvJfMjLAmec39IyEx_6qawtMGysU/edit?usp=sharing"",""สบก!W68"")"),0)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IFERROR(__xludf.DUMMYFUNCTION("IMPORTRANGE(""https://docs.google.com/spreadsheets/d/1Yj_ptqi66GCucihVvJfMjLAmec39IyEx_6qawtMGysU/edit?usp=sharing"",""สบก!X68"")"),0)</f>
        <v>0</v>
      </c>
      <c r="M61" s="49"/>
      <c r="N61" s="49">
        <f ca="1">IFERROR(__xludf.DUMMYFUNCTION("IMPORTRANGE(""https://docs.google.com/spreadsheets/d/1Yj_ptqi66GCucihVvJfMjLAmec39IyEx_6qawtMGysU/edit?usp=sharing"",""สบก!AB68"")"),0)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IFERROR(__xludf.DUMMYFUNCTION("IMPORTRANGE(""https://docs.google.com/spreadsheets/d/1SX6NBoVAgQJ6U1MVXOaj8PK2l7WJ3RER9xtqwdhxkhw/edit?usp=sharing"",""ประจวบคีรีขันธ์!I9"")"),0)</f>
        <v>0</v>
      </c>
      <c r="J64" s="142">
        <f ca="1">IFERROR(__xludf.DUMMYFUNCTION("IMPORTRANGE(""https://docs.google.com/spreadsheets/d/1SX6NBoVAgQJ6U1MVXOaj8PK2l7WJ3RER9xtqwdhxkhw/edit?usp=sharing"",""ประจวบคีรีขันธ์!J9"")"),0)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IFERROR(__xludf.DUMMYFUNCTION("IMPORTRANGE(""https://docs.google.com/spreadsheets/d/1SX6NBoVAgQJ6U1MVXOaj8PK2l7WJ3RER9xtqwdhxkhw/edit?usp=sharing"",""ประจวบคีรีขันธ์!I10"")"),0)</f>
        <v>0</v>
      </c>
      <c r="J65" s="142">
        <f ca="1">IFERROR(__xludf.DUMMYFUNCTION("IMPORTRANGE(""https://docs.google.com/spreadsheets/d/1SX6NBoVAgQJ6U1MVXOaj8PK2l7WJ3RER9xtqwdhxkhw/edit?usp=sharing"",""ประจวบคีรีขันธ์!J10"")"),0)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IFERROR(__xludf.DUMMYFUNCTION("IMPORTRANGE(""https://docs.google.com/spreadsheets/d/1Yj_ptqi66GCucihVvJfMjLAmec39IyEx_6qawtMGysU/edit?usp=sharing"",""สบก!AI68"")"),0)</f>
        <v>0</v>
      </c>
      <c r="N70" s="169">
        <f ca="1">IFERROR(__xludf.DUMMYFUNCTION("IMPORTRANGE(""https://docs.google.com/spreadsheets/d/1Yj_ptqi66GCucihVvJfMjLAmec39IyEx_6qawtMGysU/edit?usp=sharing"",""สบก!AJ68"")"),0)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IFERROR(__xludf.DUMMYFUNCTION("IMPORTRANGE(""https://docs.google.com/spreadsheets/d/1Yj_ptqi66GCucihVvJfMjLAmec39IyEx_6qawtMGysU/edit?usp=sharing"",""สบก!AE68"")"),0)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IFERROR(__xludf.DUMMYFUNCTION("IMPORTRANGE(""https://docs.google.com/spreadsheets/d/1Yj_ptqi66GCucihVvJfMjLAmec39IyEx_6qawtMGysU/edit?usp=sharing"",""สบก!AF68"")"),0)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IFERROR(__xludf.DUMMYFUNCTION("IMPORTRANGE(""https://docs.google.com/spreadsheets/d/1Yj_ptqi66GCucihVvJfMjLAmec39IyEx_6qawtMGysU/edit?usp=sharing"",""สบก!AG68"")"),0)</f>
        <v>0</v>
      </c>
      <c r="M74" s="49"/>
      <c r="N74" s="49">
        <f ca="1">IFERROR(__xludf.DUMMYFUNCTION("IMPORTRANGE(""https://docs.google.com/spreadsheets/d/1Yj_ptqi66GCucihVvJfMjLAmec39IyEx_6qawtMGysU/edit?usp=sharing"",""สบก!AK68"")"),0)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IFERROR(__xludf.DUMMYFUNCTION("IMPORTRANGE(""https://docs.google.com/spreadsheets/d/1SX6NBoVAgQJ6U1MVXOaj8PK2l7WJ3RER9xtqwdhxkhw/edit?usp=sharing"",""ประจวบคีรีขันธ์!J16"")"),0)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IFERROR(__xludf.DUMMYFUNCTION("IMPORTRANGE(""https://docs.google.com/spreadsheets/d/1SX6NBoVAgQJ6U1MVXOaj8PK2l7WJ3RER9xtqwdhxkhw/edit?usp=sharing"",""ประจวบคีรีขันธ์!J17"")"),0)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IFERROR(__xludf.DUMMYFUNCTION("IMPORTRANGE(""https://docs.google.com/spreadsheets/d/1SX6NBoVAgQJ6U1MVXOaj8PK2l7WJ3RER9xtqwdhxkhw/edit?usp=sharing"",""ประจวบคีรีขันธ์!J18"")"),0)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IFERROR(__xludf.DUMMYFUNCTION("IMPORTRANGE(""https://docs.google.com/spreadsheets/d/1SX6NBoVAgQJ6U1MVXOaj8PK2l7WJ3RER9xtqwdhxkhw/edit?usp=sharing"",""ประจวบคีรีขันธ์!J19"")"),0)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IFERROR(__xludf.DUMMYFUNCTION("IMPORTRANGE(""https://docs.google.com/spreadsheets/d/1SX6NBoVAgQJ6U1MVXOaj8PK2l7WJ3RER9xtqwdhxkhw/edit?usp=sharing"",""ประจวบคีรีขันธ์!I20"")"),0)</f>
        <v>0</v>
      </c>
      <c r="J80" s="201">
        <f ca="1">IFERROR(__xludf.DUMMYFUNCTION("IMPORTRANGE(""https://docs.google.com/spreadsheets/d/1SX6NBoVAgQJ6U1MVXOaj8PK2l7WJ3RER9xtqwdhxkhw/edit?usp=sharing"",""ประจวบคีรีขันธ์!J20"")"),0)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IFERROR(__xludf.DUMMYFUNCTION("IMPORTRANGE(""https://docs.google.com/spreadsheets/d/1SX6NBoVAgQJ6U1MVXOaj8PK2l7WJ3RER9xtqwdhxkhw/edit?usp=sharing"",""ประจวบคีรีขันธ์!I21"")"),0)</f>
        <v>0</v>
      </c>
      <c r="J81" s="201">
        <f ca="1">IFERROR(__xludf.DUMMYFUNCTION("IMPORTRANGE(""https://docs.google.com/spreadsheets/d/1SX6NBoVAgQJ6U1MVXOaj8PK2l7WJ3RER9xtqwdhxkhw/edit?usp=sharing"",""ประจวบคีรีขันธ์!J21"")"),0)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IFERROR(__xludf.DUMMYFUNCTION("IMPORTRANGE(""https://docs.google.com/spreadsheets/d/1SX6NBoVAgQJ6U1MVXOaj8PK2l7WJ3RER9xtqwdhxkhw/edit?usp=sharing"",""ประจวบคีรีขันธ์!I22"")"),0)</f>
        <v>0</v>
      </c>
      <c r="J82" s="204">
        <f ca="1">IFERROR(__xludf.DUMMYFUNCTION("IMPORTRANGE(""https://docs.google.com/spreadsheets/d/1SX6NBoVAgQJ6U1MVXOaj8PK2l7WJ3RER9xtqwdhxkhw/edit?usp=sharing"",""ประจวบคีรีขันธ์!J22"")"),0)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IFERROR(__xludf.DUMMYFUNCTION("IMPORTRANGE(""https://docs.google.com/spreadsheets/d/1SX6NBoVAgQJ6U1MVXOaj8PK2l7WJ3RER9xtqwdhxkhw/edit?usp=sharing"",""ประจวบคีรีขันธ์!I23"")"),0)</f>
        <v>0</v>
      </c>
      <c r="J83" s="204">
        <f ca="1">IFERROR(__xludf.DUMMYFUNCTION("IMPORTRANGE(""https://docs.google.com/spreadsheets/d/1SX6NBoVAgQJ6U1MVXOaj8PK2l7WJ3RER9xtqwdhxkhw/edit?usp=sharing"",""ประจวบคีรีขันธ์!J23"")"),0)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IFERROR(__xludf.DUMMYFUNCTION("IMPORTRANGE(""https://docs.google.com/spreadsheets/d/1SX6NBoVAgQJ6U1MVXOaj8PK2l7WJ3RER9xtqwdhxkhw/edit?usp=sharing"",""ประจวบคีรีขันธ์!I24"")"),0)</f>
        <v>0</v>
      </c>
      <c r="J84" s="189">
        <f ca="1">IFERROR(__xludf.DUMMYFUNCTION("IMPORTRANGE(""https://docs.google.com/spreadsheets/d/1SX6NBoVAgQJ6U1MVXOaj8PK2l7WJ3RER9xtqwdhxkhw/edit?usp=sharing"",""ประจวบคีรีขันธ์!J24"")"),0)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IFERROR(__xludf.DUMMYFUNCTION("IMPORTRANGE(""https://docs.google.com/spreadsheets/d/1SX6NBoVAgQJ6U1MVXOaj8PK2l7WJ3RER9xtqwdhxkhw/edit?usp=sharing"",""ประจวบคีรีขันธ์!I25"")"),0)</f>
        <v>0</v>
      </c>
      <c r="J85" s="189">
        <f ca="1">IFERROR(__xludf.DUMMYFUNCTION("IMPORTRANGE(""https://docs.google.com/spreadsheets/d/1SX6NBoVAgQJ6U1MVXOaj8PK2l7WJ3RER9xtqwdhxkhw/edit?usp=sharing"",""ประจวบคีรีขันธ์!J25"")"),0)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IFERROR(__xludf.DUMMYFUNCTION("IMPORTRANGE(""https://docs.google.com/spreadsheets/d/1SX6NBoVAgQJ6U1MVXOaj8PK2l7WJ3RER9xtqwdhxkhw/edit?usp=sharing"",""ประจวบคีรีขันธ์!I26"")"),0)</f>
        <v>0</v>
      </c>
      <c r="J86" s="204">
        <f ca="1">IFERROR(__xludf.DUMMYFUNCTION("IMPORTRANGE(""https://docs.google.com/spreadsheets/d/1SX6NBoVAgQJ6U1MVXOaj8PK2l7WJ3RER9xtqwdhxkhw/edit?usp=sharing"",""ประจวบคีรีขันธ์!J26"")"),0)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IFERROR(__xludf.DUMMYFUNCTION("IMPORTRANGE(""https://docs.google.com/spreadsheets/d/1SX6NBoVAgQJ6U1MVXOaj8PK2l7WJ3RER9xtqwdhxkhw/edit?usp=sharing"",""ประจวบคีรีขันธ์!I27"")"),0)</f>
        <v>0</v>
      </c>
      <c r="J87" s="204">
        <f ca="1">IFERROR(__xludf.DUMMYFUNCTION("IMPORTRANGE(""https://docs.google.com/spreadsheets/d/1SX6NBoVAgQJ6U1MVXOaj8PK2l7WJ3RER9xtqwdhxkhw/edit?usp=sharing"",""ประจวบคีรีขันธ์!J27"")"),0)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IFERROR(__xludf.DUMMYFUNCTION("IMPORTRANGE(""https://docs.google.com/spreadsheets/d/1SX6NBoVAgQJ6U1MVXOaj8PK2l7WJ3RER9xtqwdhxkhw/edit?usp=sharing"",""ประจวบคีรีขันธ์!I28"")"),0)</f>
        <v>0</v>
      </c>
      <c r="J88" s="204">
        <f ca="1">IFERROR(__xludf.DUMMYFUNCTION("IMPORTRANGE(""https://docs.google.com/spreadsheets/d/1SX6NBoVAgQJ6U1MVXOaj8PK2l7WJ3RER9xtqwdhxkhw/edit?usp=sharing"",""ประจวบคีรีขันธ์!J28"")"),0)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IFERROR(__xludf.DUMMYFUNCTION("IMPORTRANGE(""https://docs.google.com/spreadsheets/d/1SX6NBoVAgQJ6U1MVXOaj8PK2l7WJ3RER9xtqwdhxkhw/edit?usp=sharing"",""ประจวบคีรีขันธ์!J29"")"),0)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IFERROR(__xludf.DUMMYFUNCTION("IMPORTRANGE(""https://docs.google.com/spreadsheets/d/1SX6NBoVAgQJ6U1MVXOaj8PK2l7WJ3RER9xtqwdhxkhw/edit?usp=sharing"",""ประจวบคีรีขันธ์!J30"")"),0)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IFERROR(__xludf.DUMMYFUNCTION("IMPORTRANGE(""https://docs.google.com/spreadsheets/d/1SX6NBoVAgQJ6U1MVXOaj8PK2l7WJ3RER9xtqwdhxkhw/edit?usp=sharing"",""ประจวบคีรีขันธ์!I32"")"),0)</f>
        <v>0</v>
      </c>
      <c r="J92" s="142">
        <f ca="1">IFERROR(__xludf.DUMMYFUNCTION("IMPORTRANGE(""https://docs.google.com/spreadsheets/d/1SX6NBoVAgQJ6U1MVXOaj8PK2l7WJ3RER9xtqwdhxkhw/edit?usp=sharing"",""ประจวบคีรีขันธ์!J32"")"),0)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IFERROR(__xludf.DUMMYFUNCTION("IMPORTRANGE(""https://docs.google.com/spreadsheets/d/1SX6NBoVAgQJ6U1MVXOaj8PK2l7WJ3RER9xtqwdhxkhw/edit?usp=sharing"",""ประจวบคีรีขันธ์!I33"")"),0)</f>
        <v>0</v>
      </c>
      <c r="J93" s="142">
        <f ca="1">IFERROR(__xludf.DUMMYFUNCTION("IMPORTRANGE(""https://docs.google.com/spreadsheets/d/1SX6NBoVAgQJ6U1MVXOaj8PK2l7WJ3RER9xtqwdhxkhw/edit?usp=sharing"",""ประจวบคีรีขันธ์!J33"")"),0)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IFERROR(__xludf.DUMMYFUNCTION("IMPORTRANGE(""https://docs.google.com/spreadsheets/d/1Yj_ptqi66GCucihVvJfMjLAmec39IyEx_6qawtMGysU/edit?usp=sharing"",""สบก!AR68"")"),0)</f>
        <v>0</v>
      </c>
      <c r="N98" s="169">
        <f ca="1">IFERROR(__xludf.DUMMYFUNCTION("IMPORTRANGE(""https://docs.google.com/spreadsheets/d/1Yj_ptqi66GCucihVvJfMjLAmec39IyEx_6qawtMGysU/edit?usp=sharing"",""สบก!AS68"")"),0)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IFERROR(__xludf.DUMMYFUNCTION("IMPORTRANGE(""https://docs.google.com/spreadsheets/d/1Yj_ptqi66GCucihVvJfMjLAmec39IyEx_6qawtMGysU/edit?usp=sharing"",""สบก!AN68"")"),0)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IFERROR(__xludf.DUMMYFUNCTION("IMPORTRANGE(""https://docs.google.com/spreadsheets/d/1Yj_ptqi66GCucihVvJfMjLAmec39IyEx_6qawtMGysU/edit?usp=sharing"",""สบก!AO68"")"),0)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IFERROR(__xludf.DUMMYFUNCTION("IMPORTRANGE(""https://docs.google.com/spreadsheets/d/1Yj_ptqi66GCucihVvJfMjLAmec39IyEx_6qawtMGysU/edit?usp=sharing"",""สบก!AP68"")"),0)</f>
        <v>0</v>
      </c>
      <c r="M102" s="49"/>
      <c r="N102" s="49">
        <f ca="1">IFERROR(__xludf.DUMMYFUNCTION("IMPORTRANGE(""https://docs.google.com/spreadsheets/d/1Yj_ptqi66GCucihVvJfMjLAmec39IyEx_6qawtMGysU/edit?usp=sharing"",""สบก!AT68"")"),0)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IFERROR(__xludf.DUMMYFUNCTION("IMPORTRANGE(""https://docs.google.com/spreadsheets/d/1SX6NBoVAgQJ6U1MVXOaj8PK2l7WJ3RER9xtqwdhxkhw/edit?usp=sharing"",""ประจวบคีรีขันธ์!J39"")"),0)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IFERROR(__xludf.DUMMYFUNCTION("IMPORTRANGE(""https://docs.google.com/spreadsheets/d/1SX6NBoVAgQJ6U1MVXOaj8PK2l7WJ3RER9xtqwdhxkhw/edit?usp=sharing"",""ประจวบคีรีขันธ์!J40"")"),0)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IFERROR(__xludf.DUMMYFUNCTION("IMPORTRANGE(""https://docs.google.com/spreadsheets/d/1SX6NBoVAgQJ6U1MVXOaj8PK2l7WJ3RER9xtqwdhxkhw/edit?usp=sharing"",""ประจวบคีรีขันธ์!J41"")"),0)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IFERROR(__xludf.DUMMYFUNCTION("IMPORTRANGE(""https://docs.google.com/spreadsheets/d/1SX6NBoVAgQJ6U1MVXOaj8PK2l7WJ3RER9xtqwdhxkhw/edit?usp=sharing"",""ประจวบคีรีขันธ์!J42"")"),0)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IFERROR(__xludf.DUMMYFUNCTION("IMPORTRANGE(""https://docs.google.com/spreadsheets/d/1SX6NBoVAgQJ6U1MVXOaj8PK2l7WJ3RER9xtqwdhxkhw/edit?usp=sharing"",""ประจวบคีรีขันธ์!I43"")"),0)</f>
        <v>0</v>
      </c>
      <c r="J108" s="204">
        <f ca="1">IFERROR(__xludf.DUMMYFUNCTION("IMPORTRANGE(""https://docs.google.com/spreadsheets/d/1SX6NBoVAgQJ6U1MVXOaj8PK2l7WJ3RER9xtqwdhxkhw/edit?usp=sharing"",""ประจวบคีรีขันธ์!J43"")"),0)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IFERROR(__xludf.DUMMYFUNCTION("IMPORTRANGE(""https://docs.google.com/spreadsheets/d/1SX6NBoVAgQJ6U1MVXOaj8PK2l7WJ3RER9xtqwdhxkhw/edit?usp=sharing"",""ประจวบคีรีขันธ์!I44"")"),0)</f>
        <v>0</v>
      </c>
      <c r="J109" s="204">
        <f ca="1">IFERROR(__xludf.DUMMYFUNCTION("IMPORTRANGE(""https://docs.google.com/spreadsheets/d/1SX6NBoVAgQJ6U1MVXOaj8PK2l7WJ3RER9xtqwdhxkhw/edit?usp=sharing"",""ประจวบคีรีขันธ์!J44"")"),0)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IFERROR(__xludf.DUMMYFUNCTION("IMPORTRANGE(""https://docs.google.com/spreadsheets/d/1SX6NBoVAgQJ6U1MVXOaj8PK2l7WJ3RER9xtqwdhxkhw/edit?usp=sharing"",""ประจวบคีรีขันธ์!I45"")"),0)</f>
        <v>0</v>
      </c>
      <c r="J110" s="204">
        <f ca="1">IFERROR(__xludf.DUMMYFUNCTION("IMPORTRANGE(""https://docs.google.com/spreadsheets/d/1SX6NBoVAgQJ6U1MVXOaj8PK2l7WJ3RER9xtqwdhxkhw/edit?usp=sharing"",""ประจวบคีรีขันธ์!J45"")"),0)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IFERROR(__xludf.DUMMYFUNCTION("IMPORTRANGE(""https://docs.google.com/spreadsheets/d/1SX6NBoVAgQJ6U1MVXOaj8PK2l7WJ3RER9xtqwdhxkhw/edit?usp=sharing"",""ประจวบคีรีขันธ์!I46"")"),0)</f>
        <v>0</v>
      </c>
      <c r="J111" s="204">
        <f ca="1">IFERROR(__xludf.DUMMYFUNCTION("IMPORTRANGE(""https://docs.google.com/spreadsheets/d/1SX6NBoVAgQJ6U1MVXOaj8PK2l7WJ3RER9xtqwdhxkhw/edit?usp=sharing"",""ประจวบคีรีขันธ์!J46"")"),0)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IFERROR(__xludf.DUMMYFUNCTION("IMPORTRANGE(""https://docs.google.com/spreadsheets/d/1SX6NBoVAgQJ6U1MVXOaj8PK2l7WJ3RER9xtqwdhxkhw/edit?usp=sharing"",""ประจวบคีรีขันธ์!I47"")"),0)</f>
        <v>0</v>
      </c>
      <c r="J112" s="204">
        <f ca="1">IFERROR(__xludf.DUMMYFUNCTION("IMPORTRANGE(""https://docs.google.com/spreadsheets/d/1SX6NBoVAgQJ6U1MVXOaj8PK2l7WJ3RER9xtqwdhxkhw/edit?usp=sharing"",""ประจวบคีรีขันธ์!J47"")"),0)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IFERROR(__xludf.DUMMYFUNCTION("IMPORTRANGE(""https://docs.google.com/spreadsheets/d/1SX6NBoVAgQJ6U1MVXOaj8PK2l7WJ3RER9xtqwdhxkhw/edit?usp=sharing"",""ประจวบคีรีขันธ์!I48"")"),0)</f>
        <v>0</v>
      </c>
      <c r="J113" s="204">
        <f ca="1">IFERROR(__xludf.DUMMYFUNCTION("IMPORTRANGE(""https://docs.google.com/spreadsheets/d/1SX6NBoVAgQJ6U1MVXOaj8PK2l7WJ3RER9xtqwdhxkhw/edit?usp=sharing"",""ประจวบคีรีขันธ์!J48"")"),0)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IFERROR(__xludf.DUMMYFUNCTION("IMPORTRANGE(""https://docs.google.com/spreadsheets/d/1SX6NBoVAgQJ6U1MVXOaj8PK2l7WJ3RER9xtqwdhxkhw/edit?usp=sharing"",""ประจวบคีรีขันธ์!J49"")"),0)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IFERROR(__xludf.DUMMYFUNCTION("IMPORTRANGE(""https://docs.google.com/spreadsheets/d/1SX6NBoVAgQJ6U1MVXOaj8PK2l7WJ3RER9xtqwdhxkhw/edit?usp=sharing"",""ประจวบคีรีขันธ์!J50"")"),0)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IFERROR(__xludf.DUMMYFUNCTION("IMPORTRANGE(""https://docs.google.com/spreadsheets/d/1SX6NBoVAgQJ6U1MVXOaj8PK2l7WJ3RER9xtqwdhxkhw/edit?usp=sharing"",""ประจวบคีรีขันธ์!I52"")"),0)</f>
        <v>0</v>
      </c>
      <c r="J117" s="142">
        <f ca="1">IFERROR(__xludf.DUMMYFUNCTION("IMPORTRANGE(""https://docs.google.com/spreadsheets/d/1SX6NBoVAgQJ6U1MVXOaj8PK2l7WJ3RER9xtqwdhxkhw/edit?usp=sharing"",""ประจวบคีรีขันธ์!J52"")"),0)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IFERROR(__xludf.DUMMYFUNCTION("IMPORTRANGE(""https://docs.google.com/spreadsheets/d/1Yj_ptqi66GCucihVvJfMjLAmec39IyEx_6qawtMGysU/edit?usp=sharing"",""สบก!BA68"")"),0)</f>
        <v>0</v>
      </c>
      <c r="N122" s="169">
        <f ca="1">IFERROR(__xludf.DUMMYFUNCTION("IMPORTRANGE(""https://docs.google.com/spreadsheets/d/1Yj_ptqi66GCucihVvJfMjLAmec39IyEx_6qawtMGysU/edit?usp=sharing"",""สบก!BB68"")"),0)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IFERROR(__xludf.DUMMYFUNCTION("IMPORTRANGE(""https://docs.google.com/spreadsheets/d/1Yj_ptqi66GCucihVvJfMjLAmec39IyEx_6qawtMGysU/edit?usp=sharing"",""สบก!AW68"")"),0)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IFERROR(__xludf.DUMMYFUNCTION("IMPORTRANGE(""https://docs.google.com/spreadsheets/d/1Yj_ptqi66GCucihVvJfMjLAmec39IyEx_6qawtMGysU/edit?usp=sharing"",""สบก!AX68"")"),0)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IFERROR(__xludf.DUMMYFUNCTION("IMPORTRANGE(""https://docs.google.com/spreadsheets/d/1Yj_ptqi66GCucihVvJfMjLAmec39IyEx_6qawtMGysU/edit?usp=sharing"",""สบก!AY68"")"),0)</f>
        <v>0</v>
      </c>
      <c r="M126" s="49"/>
      <c r="N126" s="49">
        <f ca="1">IFERROR(__xludf.DUMMYFUNCTION("IMPORTRANGE(""https://docs.google.com/spreadsheets/d/1Yj_ptqi66GCucihVvJfMjLAmec39IyEx_6qawtMGysU/edit?usp=sharing"",""สบก!BC68"")"),0)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257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IFERROR(__xludf.DUMMYFUNCTION("IMPORTRANGE(""https://docs.google.com/spreadsheets/d/1SX6NBoVAgQJ6U1MVXOaj8PK2l7WJ3RER9xtqwdhxkhw/edit?usp=sharing"",""ประจวบคีรีขันธ์!J58"")"),0)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IFERROR(__xludf.DUMMYFUNCTION("IMPORTRANGE(""https://docs.google.com/spreadsheets/d/1SX6NBoVAgQJ6U1MVXOaj8PK2l7WJ3RER9xtqwdhxkhw/edit?usp=sharing"",""ประจวบคีรีขันธ์!J59"")"),0)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IFERROR(__xludf.DUMMYFUNCTION("IMPORTRANGE(""https://docs.google.com/spreadsheets/d/1SX6NBoVAgQJ6U1MVXOaj8PK2l7WJ3RER9xtqwdhxkhw/edit?usp=sharing"",""ประจวบคีรีขันธ์!J60"")"),0)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IFERROR(__xludf.DUMMYFUNCTION("IMPORTRANGE(""https://docs.google.com/spreadsheets/d/1SX6NBoVAgQJ6U1MVXOaj8PK2l7WJ3RER9xtqwdhxkhw/edit?usp=sharing"",""ประจวบคีรีขันธ์!J61"")"),0)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IFERROR(__xludf.DUMMYFUNCTION("IMPORTRANGE(""https://docs.google.com/spreadsheets/d/1SX6NBoVAgQJ6U1MVXOaj8PK2l7WJ3RER9xtqwdhxkhw/edit?usp=sharing"",""ประจวบคีรีขันธ์!I62"")"),0)</f>
        <v>0</v>
      </c>
      <c r="J132" s="204">
        <f ca="1">IFERROR(__xludf.DUMMYFUNCTION("IMPORTRANGE(""https://docs.google.com/spreadsheets/d/1SX6NBoVAgQJ6U1MVXOaj8PK2l7WJ3RER9xtqwdhxkhw/edit?usp=sharing"",""ประจวบคีรีขันธ์!J62"")"),0)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IFERROR(__xludf.DUMMYFUNCTION("IMPORTRANGE(""https://docs.google.com/spreadsheets/d/1SX6NBoVAgQJ6U1MVXOaj8PK2l7WJ3RER9xtqwdhxkhw/edit?usp=sharing"",""ประจวบคีรีขันธ์!I63"")"),0)</f>
        <v>0</v>
      </c>
      <c r="J133" s="204">
        <f ca="1">IFERROR(__xludf.DUMMYFUNCTION("IMPORTRANGE(""https://docs.google.com/spreadsheets/d/1SX6NBoVAgQJ6U1MVXOaj8PK2l7WJ3RER9xtqwdhxkhw/edit?usp=sharing"",""ประจวบคีรีขันธ์!J63"")"),0)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IFERROR(__xludf.DUMMYFUNCTION("IMPORTRANGE(""https://docs.google.com/spreadsheets/d/1SX6NBoVAgQJ6U1MVXOaj8PK2l7WJ3RER9xtqwdhxkhw/edit?usp=sharing"",""ประจวบคีรีขันธ์!J64"")"),0)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IFERROR(__xludf.DUMMYFUNCTION("IMPORTRANGE(""https://docs.google.com/spreadsheets/d/1SX6NBoVAgQJ6U1MVXOaj8PK2l7WJ3RER9xtqwdhxkhw/edit?usp=sharing"",""ประจวบคีรีขันธ์!J65"")"),0)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IFERROR(__xludf.DUMMYFUNCTION("IMPORTRANGE(""https://docs.google.com/spreadsheets/d/1SX6NBoVAgQJ6U1MVXOaj8PK2l7WJ3RER9xtqwdhxkhw/edit?usp=sharing"",""ประจวบคีรีขันธ์!I68"")"),0)</f>
        <v>0</v>
      </c>
      <c r="J138" s="267">
        <f ca="1">IFERROR(__xludf.DUMMYFUNCTION("IMPORTRANGE(""https://docs.google.com/spreadsheets/d/1SX6NBoVAgQJ6U1MVXOaj8PK2l7WJ3RER9xtqwdhxkhw/edit?usp=sharing"",""ประจวบคีรีขันธ์!J68"")"),0)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44500</v>
      </c>
      <c r="M140" s="152">
        <f t="shared" ca="1" si="64"/>
        <v>41625</v>
      </c>
      <c r="N140" s="152">
        <f t="shared" ca="1" si="64"/>
        <v>23592</v>
      </c>
      <c r="O140" s="151">
        <f t="shared" ref="O140:O142" ca="1" si="65">IF(L140&gt;0,N140*100/L140,0)</f>
        <v>53.015730337078651</v>
      </c>
      <c r="P140" s="151">
        <f t="shared" ref="P140:P142" ca="1" si="66">IF(M140&gt;0,N140*100/M140,0)</f>
        <v>56.677477477477474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44500</v>
      </c>
      <c r="M142" s="157">
        <f t="shared" ca="1" si="68"/>
        <v>41625</v>
      </c>
      <c r="N142" s="157">
        <f t="shared" ca="1" si="68"/>
        <v>23592</v>
      </c>
      <c r="O142" s="156">
        <f t="shared" ca="1" si="65"/>
        <v>53.015730337078651</v>
      </c>
      <c r="P142" s="156">
        <f t="shared" ca="1" si="66"/>
        <v>56.677477477477474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44500</v>
      </c>
      <c r="M144" s="168">
        <f ca="1">IFERROR(__xludf.DUMMYFUNCTION("IMPORTRANGE(""https://docs.google.com/spreadsheets/d/1Yj_ptqi66GCucihVvJfMjLAmec39IyEx_6qawtMGysU/edit?usp=sharing"",""สบก!BJ68"")"),41625)</f>
        <v>41625</v>
      </c>
      <c r="N144" s="169">
        <f ca="1">IFERROR(__xludf.DUMMYFUNCTION("IMPORTRANGE(""https://docs.google.com/spreadsheets/d/1Yj_ptqi66GCucihVvJfMjLAmec39IyEx_6qawtMGysU/edit?usp=sharing"",""สบก!BK68"")"),23592)</f>
        <v>23592</v>
      </c>
      <c r="O144" s="169">
        <f ca="1">IF(L144&gt;0,N144*100/L144,0)</f>
        <v>53.015730337078651</v>
      </c>
      <c r="P144" s="169">
        <f ca="1">IF(M144&gt;0,N144*100/M144,0)</f>
        <v>56.677477477477474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IFERROR(__xludf.DUMMYFUNCTION("IMPORTRANGE(""https://docs.google.com/spreadsheets/d/1Yj_ptqi66GCucihVvJfMjLAmec39IyEx_6qawtMGysU/edit?usp=sharing"",""สบก!BF68"")"),0)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IFERROR(__xludf.DUMMYFUNCTION("IMPORTRANGE(""https://docs.google.com/spreadsheets/d/1Yj_ptqi66GCucihVvJfMjLAmec39IyEx_6qawtMGysU/edit?usp=sharing"",""สบก!BG68"")"),44500)</f>
        <v>44500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IFERROR(__xludf.DUMMYFUNCTION("IMPORTRANGE(""https://docs.google.com/spreadsheets/d/1Yj_ptqi66GCucihVvJfMjLAmec39IyEx_6qawtMGysU/edit?usp=sharing"",""สบก!BH68"")"),0)</f>
        <v>0</v>
      </c>
      <c r="M148" s="49"/>
      <c r="N148" s="49">
        <f ca="1">IFERROR(__xludf.DUMMYFUNCTION("IMPORTRANGE(""https://docs.google.com/spreadsheets/d/1Yj_ptqi66GCucihVvJfMjLAmec39IyEx_6qawtMGysU/edit?usp=sharing"",""สบก!BL68"")"),0)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IFERROR(__xludf.DUMMYFUNCTION("IMPORTRANGE(""https://docs.google.com/spreadsheets/d/1SX6NBoVAgQJ6U1MVXOaj8PK2l7WJ3RER9xtqwdhxkhw/edit?usp=sharing"",""ประจวบคีรีขันธ์!I74"")"),4)</f>
        <v>4</v>
      </c>
      <c r="J149" s="275">
        <f ca="1">IFERROR(__xludf.DUMMYFUNCTION("IMPORTRANGE(""https://docs.google.com/spreadsheets/d/1SX6NBoVAgQJ6U1MVXOaj8PK2l7WJ3RER9xtqwdhxkhw/edit?usp=sharing"",""ประจวบคีรีขันธ์!J74"")"),2)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IFERROR(__xludf.DUMMYFUNCTION("IMPORTRANGE(""https://docs.google.com/spreadsheets/d/1SX6NBoVAgQJ6U1MVXOaj8PK2l7WJ3RER9xtqwdhxkhw/edit?usp=sharing"",""ประจวบคีรีขันธ์!J79"")"),0)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IFERROR(__xludf.DUMMYFUNCTION("IMPORTRANGE(""https://docs.google.com/spreadsheets/d/1SX6NBoVAgQJ6U1MVXOaj8PK2l7WJ3RER9xtqwdhxkhw/edit?usp=sharing"",""ประจวบคีรีขันธ์!J80"")"),1)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IFERROR(__xludf.DUMMYFUNCTION("IMPORTRANGE(""https://docs.google.com/spreadsheets/d/1SX6NBoVAgQJ6U1MVXOaj8PK2l7WJ3RER9xtqwdhxkhw/edit?usp=sharing"",""ประจวบคีรีขันธ์!J81"")"),1)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IFERROR(__xludf.DUMMYFUNCTION("IMPORTRANGE(""https://docs.google.com/spreadsheets/d/1SX6NBoVAgQJ6U1MVXOaj8PK2l7WJ3RER9xtqwdhxkhw/edit?usp=sharing"",""ประจวบคีรีขันธ์!J82"")"),0)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IFERROR(__xludf.DUMMYFUNCTION("IMPORTRANGE(""https://docs.google.com/spreadsheets/d/1SX6NBoVAgQJ6U1MVXOaj8PK2l7WJ3RER9xtqwdhxkhw/edit?usp=sharing"",""ประจวบคีรีขันธ์!I83"")"),4)</f>
        <v>4</v>
      </c>
      <c r="J158" s="189">
        <f ca="1">IFERROR(__xludf.DUMMYFUNCTION("IMPORTRANGE(""https://docs.google.com/spreadsheets/d/1SX6NBoVAgQJ6U1MVXOaj8PK2l7WJ3RER9xtqwdhxkhw/edit?usp=sharing"",""ประจวบคีรีขันธ์!J83"")"),2)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IFERROR(__xludf.DUMMYFUNCTION("IMPORTRANGE(""https://docs.google.com/spreadsheets/d/1SX6NBoVAgQJ6U1MVXOaj8PK2l7WJ3RER9xtqwdhxkhw/edit?usp=sharing"",""ประจวบคีรีขันธ์!J84"")"),45)</f>
        <v>45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IFERROR(__xludf.DUMMYFUNCTION("IMPORTRANGE(""https://docs.google.com/spreadsheets/d/1SX6NBoVAgQJ6U1MVXOaj8PK2l7WJ3RER9xtqwdhxkhw/edit?usp=sharing"",""ประจวบคีรีขันธ์!J85"")"),45)</f>
        <v>45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IFERROR(__xludf.DUMMYFUNCTION("IMPORTRANGE(""https://docs.google.com/spreadsheets/d/1SX6NBoVAgQJ6U1MVXOaj8PK2l7WJ3RER9xtqwdhxkhw/edit?usp=sharing"",""ประจวบคีรีขันธ์!J86"")"),0)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IFERROR(__xludf.DUMMYFUNCTION("IMPORTRANGE(""https://docs.google.com/spreadsheets/d/1SX6NBoVAgQJ6U1MVXOaj8PK2l7WJ3RER9xtqwdhxkhw/edit?usp=sharing"",""ประจวบคีรีขันธ์!J87"")"),0)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IFERROR(__xludf.DUMMYFUNCTION("IMPORTRANGE(""https://docs.google.com/spreadsheets/d/1SX6NBoVAgQJ6U1MVXOaj8PK2l7WJ3RER9xtqwdhxkhw/edit?usp=sharing"",""ประจวบคีรีขันธ์!J88"")"),0)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IFERROR(__xludf.DUMMYFUNCTION("IMPORTRANGE(""https://docs.google.com/spreadsheets/d/1SX6NBoVAgQJ6U1MVXOaj8PK2l7WJ3RER9xtqwdhxkhw/edit?usp=sharing"",""ประจวบคีรีขันธ์!I89"")"),2)</f>
        <v>2</v>
      </c>
      <c r="J164" s="284">
        <f ca="1">IFERROR(__xludf.DUMMYFUNCTION("IMPORTRANGE(""https://docs.google.com/spreadsheets/d/1SX6NBoVAgQJ6U1MVXOaj8PK2l7WJ3RER9xtqwdhxkhw/edit?usp=sharing"",""ประจวบคีรีขันธ์!J89"")"),1)</f>
        <v>1</v>
      </c>
      <c r="K164" s="285">
        <f ca="1">IF(I164&gt;0,J164*100/I164,0)</f>
        <v>50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IFERROR(__xludf.DUMMYFUNCTION("IMPORTRANGE(""https://docs.google.com/spreadsheets/d/1SX6NBoVAgQJ6U1MVXOaj8PK2l7WJ3RER9xtqwdhxkhw/edit?usp=sharing"",""ประจวบคีรีขันธ์!J94"")"),0)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IFERROR(__xludf.DUMMYFUNCTION("IMPORTRANGE(""https://docs.google.com/spreadsheets/d/1SX6NBoVAgQJ6U1MVXOaj8PK2l7WJ3RER9xtqwdhxkhw/edit?usp=sharing"",""ประจวบคีรีขันธ์!J95"")"),1)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IFERROR(__xludf.DUMMYFUNCTION("IMPORTRANGE(""https://docs.google.com/spreadsheets/d/1SX6NBoVAgQJ6U1MVXOaj8PK2l7WJ3RER9xtqwdhxkhw/edit?usp=sharing"",""ประจวบคีรีขันธ์!J96"")"),1)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IFERROR(__xludf.DUMMYFUNCTION("IMPORTRANGE(""https://docs.google.com/spreadsheets/d/1SX6NBoVAgQJ6U1MVXOaj8PK2l7WJ3RER9xtqwdhxkhw/edit?usp=sharing"",""ประจวบคีรีขันธ์!J97"")"),1)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IFERROR(__xludf.DUMMYFUNCTION("IMPORTRANGE(""https://docs.google.com/spreadsheets/d/1SX6NBoVAgQJ6U1MVXOaj8PK2l7WJ3RER9xtqwdhxkhw/edit?usp=sharing"",""ประจวบคีรีขันธ์!I98"")"),2)</f>
        <v>2</v>
      </c>
      <c r="J173" s="189">
        <f ca="1">IFERROR(__xludf.DUMMYFUNCTION("IMPORTRANGE(""https://docs.google.com/spreadsheets/d/1SX6NBoVAgQJ6U1MVXOaj8PK2l7WJ3RER9xtqwdhxkhw/edit?usp=sharing"",""ประจวบคีรีขันธ์!J98"")"),1)</f>
        <v>1</v>
      </c>
      <c r="K173" s="163">
        <f ca="1">IF(I173&gt;0,J173*100/I173,0)</f>
        <v>50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IFERROR(__xludf.DUMMYFUNCTION("IMPORTRANGE(""https://docs.google.com/spreadsheets/d/1SX6NBoVAgQJ6U1MVXOaj8PK2l7WJ3RER9xtqwdhxkhw/edit?usp=sharing"",""ประจวบคีรีขันธ์!J99"")"),0)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IFERROR(__xludf.DUMMYFUNCTION("IMPORTRANGE(""https://docs.google.com/spreadsheets/d/1SX6NBoVAgQJ6U1MVXOaj8PK2l7WJ3RER9xtqwdhxkhw/edit?usp=sharing"",""ประจวบคีรีขันธ์!J100"")"),0)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IFERROR(__xludf.DUMMYFUNCTION("IMPORTRANGE(""https://docs.google.com/spreadsheets/d/1SX6NBoVAgQJ6U1MVXOaj8PK2l7WJ3RER9xtqwdhxkhw/edit?usp=sharing"",""ประจวบคีรีขันธ์!I101"")"),0)</f>
        <v>0</v>
      </c>
      <c r="J176" s="284">
        <f ca="1">IFERROR(__xludf.DUMMYFUNCTION("IMPORTRANGE(""https://docs.google.com/spreadsheets/d/1SX6NBoVAgQJ6U1MVXOaj8PK2l7WJ3RER9xtqwdhxkhw/edit?usp=sharing"",""ประจวบคีรีขันธ์!J101"")"),0)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IFERROR(__xludf.DUMMYFUNCTION("IMPORTRANGE(""https://docs.google.com/spreadsheets/d/1SX6NBoVAgQJ6U1MVXOaj8PK2l7WJ3RER9xtqwdhxkhw/edit?usp=sharing"",""ประจวบคีรีขันธ์!J106"")"),0)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IFERROR(__xludf.DUMMYFUNCTION("IMPORTRANGE(""https://docs.google.com/spreadsheets/d/1SX6NBoVAgQJ6U1MVXOaj8PK2l7WJ3RER9xtqwdhxkhw/edit?usp=sharing"",""ประจวบคีรีขันธ์!J107"")"),0)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IFERROR(__xludf.DUMMYFUNCTION("IMPORTRANGE(""https://docs.google.com/spreadsheets/d/1SX6NBoVAgQJ6U1MVXOaj8PK2l7WJ3RER9xtqwdhxkhw/edit?usp=sharing"",""ประจวบคีรีขันธ์!J108"")"),0)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IFERROR(__xludf.DUMMYFUNCTION("IMPORTRANGE(""https://docs.google.com/spreadsheets/d/1SX6NBoVAgQJ6U1MVXOaj8PK2l7WJ3RER9xtqwdhxkhw/edit?usp=sharing"",""ประจวบคีรีขันธ์!J109"")"),0)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IFERROR(__xludf.DUMMYFUNCTION("IMPORTRANGE(""https://docs.google.com/spreadsheets/d/1SX6NBoVAgQJ6U1MVXOaj8PK2l7WJ3RER9xtqwdhxkhw/edit?usp=sharing"",""ประจวบคีรีขันธ์!I110"")"),0)</f>
        <v>0</v>
      </c>
      <c r="J185" s="204">
        <f ca="1">IFERROR(__xludf.DUMMYFUNCTION("IMPORTRANGE(""https://docs.google.com/spreadsheets/d/1SX6NBoVAgQJ6U1MVXOaj8PK2l7WJ3RER9xtqwdhxkhw/edit?usp=sharing"",""ประจวบคีรีขันธ์!J110"")"),0)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IFERROR(__xludf.DUMMYFUNCTION("IMPORTRANGE(""https://docs.google.com/spreadsheets/d/1SX6NBoVAgQJ6U1MVXOaj8PK2l7WJ3RER9xtqwdhxkhw/edit?usp=sharing"",""ประจวบคีรีขันธ์!I111"")"),0)</f>
        <v>0</v>
      </c>
      <c r="J186" s="204">
        <f ca="1">IFERROR(__xludf.DUMMYFUNCTION("IMPORTRANGE(""https://docs.google.com/spreadsheets/d/1SX6NBoVAgQJ6U1MVXOaj8PK2l7WJ3RER9xtqwdhxkhw/edit?usp=sharing"",""ประจวบคีรีขันธ์!J111"")"),0)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IFERROR(__xludf.DUMMYFUNCTION("IMPORTRANGE(""https://docs.google.com/spreadsheets/d/1SX6NBoVAgQJ6U1MVXOaj8PK2l7WJ3RER9xtqwdhxkhw/edit?usp=sharing"",""ประจวบคีรีขันธ์!J112"")"),0)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IFERROR(__xludf.DUMMYFUNCTION("IMPORTRANGE(""https://docs.google.com/spreadsheets/d/1SX6NBoVAgQJ6U1MVXOaj8PK2l7WJ3RER9xtqwdhxkhw/edit?usp=sharing"",""ประจวบคีรีขันธ์!J113"")"),0)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IFERROR(__xludf.DUMMYFUNCTION("IMPORTRANGE(""https://docs.google.com/spreadsheets/d/1SX6NBoVAgQJ6U1MVXOaj8PK2l7WJ3RER9xtqwdhxkhw/edit?usp=sharing"",""ประจวบคีรีขันธ์!I114"")"),20000)</f>
        <v>20000</v>
      </c>
      <c r="J189" s="284">
        <f ca="1">IFERROR(__xludf.DUMMYFUNCTION("IMPORTRANGE(""https://docs.google.com/spreadsheets/d/1SX6NBoVAgQJ6U1MVXOaj8PK2l7WJ3RER9xtqwdhxkhw/edit?usp=sharing"",""ประจวบคีรีขันธ์!J114"")"),0)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IFERROR(__xludf.DUMMYFUNCTION("IMPORTRANGE(""https://docs.google.com/spreadsheets/d/1SX6NBoVAgQJ6U1MVXOaj8PK2l7WJ3RER9xtqwdhxkhw/edit?usp=sharing"",""ประจวบคีรีขันธ์!J119"")"),0)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IFERROR(__xludf.DUMMYFUNCTION("IMPORTRANGE(""https://docs.google.com/spreadsheets/d/1SX6NBoVAgQJ6U1MVXOaj8PK2l7WJ3RER9xtqwdhxkhw/edit?usp=sharing"",""ประจวบคีรีขันธ์!J120"")"),1)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IFERROR(__xludf.DUMMYFUNCTION("IMPORTRANGE(""https://docs.google.com/spreadsheets/d/1SX6NBoVAgQJ6U1MVXOaj8PK2l7WJ3RER9xtqwdhxkhw/edit?usp=sharing"",""ประจวบคีรีขันธ์!J121"")"),1)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IFERROR(__xludf.DUMMYFUNCTION("IMPORTRANGE(""https://docs.google.com/spreadsheets/d/1SX6NBoVAgQJ6U1MVXOaj8PK2l7WJ3RER9xtqwdhxkhw/edit?usp=sharing"",""ประจวบคีรีขันธ์!J122"")"),1)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IFERROR(__xludf.DUMMYFUNCTION("IMPORTRANGE(""https://docs.google.com/spreadsheets/d/1SX6NBoVAgQJ6U1MVXOaj8PK2l7WJ3RER9xtqwdhxkhw/edit?usp=sharing"",""ประจวบคีรีขันธ์!I124"")"),20000)</f>
        <v>20000</v>
      </c>
      <c r="J199" s="189">
        <f ca="1">IFERROR(__xludf.DUMMYFUNCTION("IMPORTRANGE(""https://docs.google.com/spreadsheets/d/1SX6NBoVAgQJ6U1MVXOaj8PK2l7WJ3RER9xtqwdhxkhw/edit?usp=sharing"",""ประจวบคีรีขันธ์!J124"")"),0)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IFERROR(__xludf.DUMMYFUNCTION("IMPORTRANGE(""https://docs.google.com/spreadsheets/d/1SX6NBoVAgQJ6U1MVXOaj8PK2l7WJ3RER9xtqwdhxkhw/edit?usp=sharing"",""ประจวบคีรีขันธ์!I125"")"),20000)</f>
        <v>20000</v>
      </c>
      <c r="J200" s="189">
        <f ca="1">IFERROR(__xludf.DUMMYFUNCTION("IMPORTRANGE(""https://docs.google.com/spreadsheets/d/1SX6NBoVAgQJ6U1MVXOaj8PK2l7WJ3RER9xtqwdhxkhw/edit?usp=sharing"",""ประจวบคีรีขันธ์!J125"")"),0)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IFERROR(__xludf.DUMMYFUNCTION("IMPORTRANGE(""https://docs.google.com/spreadsheets/d/1SX6NBoVAgQJ6U1MVXOaj8PK2l7WJ3RER9xtqwdhxkhw/edit?usp=sharing"",""ประจวบคีรีขันธ์!I126"")"),0)</f>
        <v>0</v>
      </c>
      <c r="J201" s="189">
        <f ca="1">IFERROR(__xludf.DUMMYFUNCTION("IMPORTRANGE(""https://docs.google.com/spreadsheets/d/1SX6NBoVAgQJ6U1MVXOaj8PK2l7WJ3RER9xtqwdhxkhw/edit?usp=sharing"",""ประจวบคีรีขันธ์!J126"")"),0)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IFERROR(__xludf.DUMMYFUNCTION("IMPORTRANGE(""https://docs.google.com/spreadsheets/d/1SX6NBoVAgQJ6U1MVXOaj8PK2l7WJ3RER9xtqwdhxkhw/edit?usp=sharing"",""ประจวบคีรีขันธ์!J127"")"),0)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IFERROR(__xludf.DUMMYFUNCTION("IMPORTRANGE(""https://docs.google.com/spreadsheets/d/1SX6NBoVAgQJ6U1MVXOaj8PK2l7WJ3RER9xtqwdhxkhw/edit?usp=sharing"",""ประจวบคีรีขันธ์!J128"")"),0)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IFERROR(__xludf.DUMMYFUNCTION("IMPORTRANGE(""https://docs.google.com/spreadsheets/d/1SX6NBoVAgQJ6U1MVXOaj8PK2l7WJ3RER9xtqwdhxkhw/edit?usp=sharing"",""ประจวบคีรีขันธ์!I129"")"),0)</f>
        <v>0</v>
      </c>
      <c r="J204" s="284">
        <f ca="1">IFERROR(__xludf.DUMMYFUNCTION("IMPORTRANGE(""https://docs.google.com/spreadsheets/d/1SX6NBoVAgQJ6U1MVXOaj8PK2l7WJ3RER9xtqwdhxkhw/edit?usp=sharing"",""ประจวบคีรีขันธ์!J129"")"),0)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IFERROR(__xludf.DUMMYFUNCTION("IMPORTRANGE(""https://docs.google.com/spreadsheets/d/1SX6NBoVAgQJ6U1MVXOaj8PK2l7WJ3RER9xtqwdhxkhw/edit?usp=sharing"",""ประจวบคีรีขันธ์!J134"")"),0)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IFERROR(__xludf.DUMMYFUNCTION("IMPORTRANGE(""https://docs.google.com/spreadsheets/d/1SX6NBoVAgQJ6U1MVXOaj8PK2l7WJ3RER9xtqwdhxkhw/edit?usp=sharing"",""ประจวบคีรีขันธ์!J135"")"),0)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IFERROR(__xludf.DUMMYFUNCTION("IMPORTRANGE(""https://docs.google.com/spreadsheets/d/1SX6NBoVAgQJ6U1MVXOaj8PK2l7WJ3RER9xtqwdhxkhw/edit?usp=sharing"",""ประจวบคีรีขันธ์!J136"")"),0)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IFERROR(__xludf.DUMMYFUNCTION("IMPORTRANGE(""https://docs.google.com/spreadsheets/d/1SX6NBoVAgQJ6U1MVXOaj8PK2l7WJ3RER9xtqwdhxkhw/edit?usp=sharing"",""ประจวบคีรีขันธ์!J137"")"),0)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IFERROR(__xludf.DUMMYFUNCTION("IMPORTRANGE(""https://docs.google.com/spreadsheets/d/1SX6NBoVAgQJ6U1MVXOaj8PK2l7WJ3RER9xtqwdhxkhw/edit?usp=sharing"",""ประจวบคีรีขันธ์!I138"")"),0)</f>
        <v>0</v>
      </c>
      <c r="J213" s="204">
        <f ca="1">IFERROR(__xludf.DUMMYFUNCTION("IMPORTRANGE(""https://docs.google.com/spreadsheets/d/1SX6NBoVAgQJ6U1MVXOaj8PK2l7WJ3RER9xtqwdhxkhw/edit?usp=sharing"",""ประจวบคีรีขันธ์!J138"")"),0)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IFERROR(__xludf.DUMMYFUNCTION("IMPORTRANGE(""https://docs.google.com/spreadsheets/d/1SX6NBoVAgQJ6U1MVXOaj8PK2l7WJ3RER9xtqwdhxkhw/edit?usp=sharing"",""ประจวบคีรีขันธ์!I140"")"),0)</f>
        <v>0</v>
      </c>
      <c r="J215" s="204">
        <f ca="1">IFERROR(__xludf.DUMMYFUNCTION("IMPORTRANGE(""https://docs.google.com/spreadsheets/d/1SX6NBoVAgQJ6U1MVXOaj8PK2l7WJ3RER9xtqwdhxkhw/edit?usp=sharing"",""ประจวบคีรีขันธ์!J140"")"),0)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IFERROR(__xludf.DUMMYFUNCTION("IMPORTRANGE(""https://docs.google.com/spreadsheets/d/1SX6NBoVAgQJ6U1MVXOaj8PK2l7WJ3RER9xtqwdhxkhw/edit?usp=sharing"",""ประจวบคีรีขันธ์!I141"")"),0)</f>
        <v>0</v>
      </c>
      <c r="J216" s="204">
        <f ca="1">IFERROR(__xludf.DUMMYFUNCTION("IMPORTRANGE(""https://docs.google.com/spreadsheets/d/1SX6NBoVAgQJ6U1MVXOaj8PK2l7WJ3RER9xtqwdhxkhw/edit?usp=sharing"",""ประจวบคีรีขันธ์!J141"")"),0)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IFERROR(__xludf.DUMMYFUNCTION("IMPORTRANGE(""https://docs.google.com/spreadsheets/d/1SX6NBoVAgQJ6U1MVXOaj8PK2l7WJ3RER9xtqwdhxkhw/edit?usp=sharing"",""ประจวบคีรีขันธ์!J142"")"),0)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IFERROR(__xludf.DUMMYFUNCTION("IMPORTRANGE(""https://docs.google.com/spreadsheets/d/1SX6NBoVAgQJ6U1MVXOaj8PK2l7WJ3RER9xtqwdhxkhw/edit?usp=sharing"",""ประจวบคีรีขันธ์!J143"")"),0)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IFERROR(__xludf.DUMMYFUNCTION("IMPORTRANGE(""https://docs.google.com/spreadsheets/d/1SX6NBoVAgQJ6U1MVXOaj8PK2l7WJ3RER9xtqwdhxkhw/edit?usp=sharing"",""ประจวบคีรีขันธ์!I144"")"),14)</f>
        <v>14</v>
      </c>
      <c r="J219" s="267">
        <f ca="1">IFERROR(__xludf.DUMMYFUNCTION("IMPORTRANGE(""https://docs.google.com/spreadsheets/d/1SX6NBoVAgQJ6U1MVXOaj8PK2l7WJ3RER9xtqwdhxkhw/edit?usp=sharing"",""ประจวบคีรีขันธ์!J144"")"),14)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IFERROR(__xludf.DUMMYFUNCTION("IMPORTRANGE(""https://docs.google.com/spreadsheets/d/1Yj_ptqi66GCucihVvJfMjLAmec39IyEx_6qawtMGysU/edit?usp=sharing"",""สบก!BS68"")"),20210)</f>
        <v>20210</v>
      </c>
      <c r="N224" s="169">
        <f ca="1">IFERROR(__xludf.DUMMYFUNCTION("IMPORTRANGE(""https://docs.google.com/spreadsheets/d/1Yj_ptqi66GCucihVvJfMjLAmec39IyEx_6qawtMGysU/edit?usp=sharing"",""สบก!BT68"")"),20210)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IFERROR(__xludf.DUMMYFUNCTION("IMPORTRANGE(""https://docs.google.com/spreadsheets/d/1Yj_ptqi66GCucihVvJfMjLAmec39IyEx_6qawtMGysU/edit?usp=sharing"",""สบก!BO68"")"),0)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IFERROR(__xludf.DUMMYFUNCTION("IMPORTRANGE(""https://docs.google.com/spreadsheets/d/1Yj_ptqi66GCucihVvJfMjLAmec39IyEx_6qawtMGysU/edit?usp=sharing"",""สบก!BP68"")"),20210)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IFERROR(__xludf.DUMMYFUNCTION("IMPORTRANGE(""https://docs.google.com/spreadsheets/d/1Yj_ptqi66GCucihVvJfMjLAmec39IyEx_6qawtMGysU/edit?usp=sharing"",""สบก!BQ68"")"),0)</f>
        <v>0</v>
      </c>
      <c r="M228" s="49"/>
      <c r="N228" s="49">
        <f ca="1">IFERROR(__xludf.DUMMYFUNCTION("IMPORTRANGE(""https://docs.google.com/spreadsheets/d/1Yj_ptqi66GCucihVvJfMjLAmec39IyEx_6qawtMGysU/edit?usp=sharing"",""สบก!BU68"")"),0)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IFERROR(__xludf.DUMMYFUNCTION("IMPORTRANGE(""https://docs.google.com/spreadsheets/d/1SX6NBoVAgQJ6U1MVXOaj8PK2l7WJ3RER9xtqwdhxkhw/edit?usp=sharing"",""ประจวบคีรีขันธ์!I149"")"),14)</f>
        <v>14</v>
      </c>
      <c r="J229" s="267">
        <f ca="1">IFERROR(__xludf.DUMMYFUNCTION("IMPORTRANGE(""https://docs.google.com/spreadsheets/d/1SX6NBoVAgQJ6U1MVXOaj8PK2l7WJ3RER9xtqwdhxkhw/edit?usp=sharing"",""ประจวบคีรีขันธ์!J149"")"),14)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IFERROR(__xludf.DUMMYFUNCTION("IMPORTRANGE(""https://docs.google.com/spreadsheets/d/1SX6NBoVAgQJ6U1MVXOaj8PK2l7WJ3RER9xtqwdhxkhw/edit?usp=sharing"",""ประจวบคีรีขันธ์!J151"")"),0)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IFERROR(__xludf.DUMMYFUNCTION("IMPORTRANGE(""https://docs.google.com/spreadsheets/d/1SX6NBoVAgQJ6U1MVXOaj8PK2l7WJ3RER9xtqwdhxkhw/edit?usp=sharing"",""ประจวบคีรีขันธ์!J152"")"),0)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IFERROR(__xludf.DUMMYFUNCTION("IMPORTRANGE(""https://docs.google.com/spreadsheets/d/1SX6NBoVAgQJ6U1MVXOaj8PK2l7WJ3RER9xtqwdhxkhw/edit?usp=sharing"",""ประจวบคีรีขันธ์!J153"")"),0)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IFERROR(__xludf.DUMMYFUNCTION("IMPORTRANGE(""https://docs.google.com/spreadsheets/d/1SX6NBoVAgQJ6U1MVXOaj8PK2l7WJ3RER9xtqwdhxkhw/edit?usp=sharing"",""ประจวบคีรีขันธ์!J154"")"),0)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IFERROR(__xludf.DUMMYFUNCTION("IMPORTRANGE(""https://docs.google.com/spreadsheets/d/1SX6NBoVAgQJ6U1MVXOaj8PK2l7WJ3RER9xtqwdhxkhw/edit?usp=sharing"",""ประจวบคีรีขันธ์!I155"")"),14)</f>
        <v>14</v>
      </c>
      <c r="J235" s="189">
        <f ca="1">IFERROR(__xludf.DUMMYFUNCTION("IMPORTRANGE(""https://docs.google.com/spreadsheets/d/1SX6NBoVAgQJ6U1MVXOaj8PK2l7WJ3RER9xtqwdhxkhw/edit?usp=sharing"",""ประจวบคีรีขันธ์!J155"")"),14)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IFERROR(__xludf.DUMMYFUNCTION("IMPORTRANGE(""https://docs.google.com/spreadsheets/d/1SX6NBoVAgQJ6U1MVXOaj8PK2l7WJ3RER9xtqwdhxkhw/edit?usp=sharing"",""ประจวบคีรีขันธ์!J156"")"),0)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IFERROR(__xludf.DUMMYFUNCTION("IMPORTRANGE(""https://docs.google.com/spreadsheets/d/1SX6NBoVAgQJ6U1MVXOaj8PK2l7WJ3RER9xtqwdhxkhw/edit?usp=sharing"",""ประจวบคีรีขันธ์!J157"")"),1)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IFERROR(__xludf.DUMMYFUNCTION("IMPORTRANGE(""https://docs.google.com/spreadsheets/d/1SX6NBoVAgQJ6U1MVXOaj8PK2l7WJ3RER9xtqwdhxkhw/edit?usp=sharing"",""ประจวบคีรีขันธ์!I158"")"),0)</f>
        <v>0</v>
      </c>
      <c r="J238" s="267">
        <f ca="1">IFERROR(__xludf.DUMMYFUNCTION("IMPORTRANGE(""https://docs.google.com/spreadsheets/d/1SX6NBoVAgQJ6U1MVXOaj8PK2l7WJ3RER9xtqwdhxkhw/edit?usp=sharing"",""ประจวบคีรีขันธ์!J158"")"),0)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IFERROR(__xludf.DUMMYFUNCTION("IMPORTRANGE(""https://docs.google.com/spreadsheets/d/1SX6NBoVAgQJ6U1MVXOaj8PK2l7WJ3RER9xtqwdhxkhw/edit?usp=sharing"",""ประจวบคีรีขันธ์!J159"")"),"")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IFERROR(__xludf.DUMMYFUNCTION("IMPORTRANGE(""https://docs.google.com/spreadsheets/d/1SX6NBoVAgQJ6U1MVXOaj8PK2l7WJ3RER9xtqwdhxkhw/edit?usp=sharing"",""ประจวบคีรีขันธ์!J161"")"),0)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IFERROR(__xludf.DUMMYFUNCTION("IMPORTRANGE(""https://docs.google.com/spreadsheets/d/1SX6NBoVAgQJ6U1MVXOaj8PK2l7WJ3RER9xtqwdhxkhw/edit?usp=sharing"",""ประจวบคีรีขันธ์!J162"")"),0)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IFERROR(__xludf.DUMMYFUNCTION("IMPORTRANGE(""https://docs.google.com/spreadsheets/d/1SX6NBoVAgQJ6U1MVXOaj8PK2l7WJ3RER9xtqwdhxkhw/edit?usp=sharing"",""ประจวบคีรีขันธ์!J163"")"),0)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IFERROR(__xludf.DUMMYFUNCTION("IMPORTRANGE(""https://docs.google.com/spreadsheets/d/1SX6NBoVAgQJ6U1MVXOaj8PK2l7WJ3RER9xtqwdhxkhw/edit?usp=sharing"",""ประจวบคีรีขันธ์!I164"")"),0)</f>
        <v>0</v>
      </c>
      <c r="J24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IFERROR(__xludf.DUMMYFUNCTION("IMPORTRANGE(""https://docs.google.com/spreadsheets/d/1SX6NBoVAgQJ6U1MVXOaj8PK2l7WJ3RER9xtqwdhxkhw/edit?usp=sharing"",""ประจวบคีรีขันธ์!J165"")"),0)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IFERROR(__xludf.DUMMYFUNCTION("IMPORTRANGE(""https://docs.google.com/spreadsheets/d/1SX6NBoVAgQJ6U1MVXOaj8PK2l7WJ3RER9xtqwdhxkhw/edit?usp=sharing"",""ประจวบคีรีขันธ์!J166"")"),0)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IFERROR(__xludf.DUMMYFUNCTION("IMPORTRANGE(""https://docs.google.com/spreadsheets/d/1SX6NBoVAgQJ6U1MVXOaj8PK2l7WJ3RER9xtqwdhxkhw/edit?usp=sharing"",""ประจวบคีรีขันธ์!I169"")"),0)</f>
        <v>0</v>
      </c>
      <c r="J249" s="316">
        <f ca="1">IFERROR(__xludf.DUMMYFUNCTION("IMPORTRANGE(""https://docs.google.com/spreadsheets/d/1SX6NBoVAgQJ6U1MVXOaj8PK2l7WJ3RER9xtqwdhxkhw/edit?usp=sharing"",""ประจวบคีรีขันธ์!J169"")"),0)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IFERROR(__xludf.DUMMYFUNCTION("IMPORTRANGE(""https://docs.google.com/spreadsheets/d/1Yj_ptqi66GCucihVvJfMjLAmec39IyEx_6qawtMGysU/edit?usp=sharing"",""สบก!CB68"")"),0)</f>
        <v>0</v>
      </c>
      <c r="N254" s="169">
        <f ca="1">IFERROR(__xludf.DUMMYFUNCTION("IMPORTRANGE(""https://docs.google.com/spreadsheets/d/1Yj_ptqi66GCucihVvJfMjLAmec39IyEx_6qawtMGysU/edit?usp=sharing"",""สบก!CC68"")"),0)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IFERROR(__xludf.DUMMYFUNCTION("IMPORTRANGE(""https://docs.google.com/spreadsheets/d/1Yj_ptqi66GCucihVvJfMjLAmec39IyEx_6qawtMGysU/edit?usp=sharing"",""สบก!BX68"")"),0)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IFERROR(__xludf.DUMMYFUNCTION("IMPORTRANGE(""https://docs.google.com/spreadsheets/d/1Yj_ptqi66GCucihVvJfMjLAmec39IyEx_6qawtMGysU/edit?usp=sharing"",""สบก!BY68"")"),0)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IFERROR(__xludf.DUMMYFUNCTION("IMPORTRANGE(""https://docs.google.com/spreadsheets/d/1Yj_ptqi66GCucihVvJfMjLAmec39IyEx_6qawtMGysU/edit?usp=sharing"",""สบก!BZ68"")"),0)</f>
        <v>0</v>
      </c>
      <c r="M258" s="49"/>
      <c r="N258" s="49">
        <f ca="1">IFERROR(__xludf.DUMMYFUNCTION("IMPORTRANGE(""https://docs.google.com/spreadsheets/d/1Yj_ptqi66GCucihVvJfMjLAmec39IyEx_6qawtMGysU/edit?usp=sharing"",""สบก!CD68"")"),0)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IFERROR(__xludf.DUMMYFUNCTION("IMPORTRANGE(""https://docs.google.com/spreadsheets/d/1SX6NBoVAgQJ6U1MVXOaj8PK2l7WJ3RER9xtqwdhxkhw/edit?usp=sharing"",""ประจวบคีรีขันธ์!J175"")"),0)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IFERROR(__xludf.DUMMYFUNCTION("IMPORTRANGE(""https://docs.google.com/spreadsheets/d/1SX6NBoVAgQJ6U1MVXOaj8PK2l7WJ3RER9xtqwdhxkhw/edit?usp=sharing"",""ประจวบคีรีขันธ์!J176"")"),0)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IFERROR(__xludf.DUMMYFUNCTION("IMPORTRANGE(""https://docs.google.com/spreadsheets/d/1SX6NBoVAgQJ6U1MVXOaj8PK2l7WJ3RER9xtqwdhxkhw/edit?usp=sharing"",""ประจวบคีรีขันธ์!J177"")"),0)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IFERROR(__xludf.DUMMYFUNCTION("IMPORTRANGE(""https://docs.google.com/spreadsheets/d/1SX6NBoVAgQJ6U1MVXOaj8PK2l7WJ3RER9xtqwdhxkhw/edit?usp=sharing"",""ประจวบคีรีขันธ์!J178"")"),0)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IFERROR(__xludf.DUMMYFUNCTION("IMPORTRANGE(""https://docs.google.com/spreadsheets/d/1SX6NBoVAgQJ6U1MVXOaj8PK2l7WJ3RER9xtqwdhxkhw/edit?usp=sharing"",""ประจวบคีรีขันธ์!I179"")"),0)</f>
        <v>0</v>
      </c>
      <c r="J264" s="189">
        <f ca="1">IFERROR(__xludf.DUMMYFUNCTION("IMPORTRANGE(""https://docs.google.com/spreadsheets/d/1SX6NBoVAgQJ6U1MVXOaj8PK2l7WJ3RER9xtqwdhxkhw/edit?usp=sharing"",""ประจวบคีรีขันธ์!J179"")"),0)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IFERROR(__xludf.DUMMYFUNCTION("IMPORTRANGE(""https://docs.google.com/spreadsheets/d/1SX6NBoVAgQJ6U1MVXOaj8PK2l7WJ3RER9xtqwdhxkhw/edit?usp=sharing"",""ประจวบคีรีขันธ์!I180"")"),0)</f>
        <v>0</v>
      </c>
      <c r="J265" s="189">
        <f ca="1">IFERROR(__xludf.DUMMYFUNCTION("IMPORTRANGE(""https://docs.google.com/spreadsheets/d/1SX6NBoVAgQJ6U1MVXOaj8PK2l7WJ3RER9xtqwdhxkhw/edit?usp=sharing"",""ประจวบคีรีขันธ์!J180"")"),0)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IFERROR(__xludf.DUMMYFUNCTION("IMPORTRANGE(""https://docs.google.com/spreadsheets/d/1SX6NBoVAgQJ6U1MVXOaj8PK2l7WJ3RER9xtqwdhxkhw/edit?usp=sharing"",""ประจวบคีรีขันธ์!I181"")"),0)</f>
        <v>0</v>
      </c>
      <c r="J266" s="189">
        <f ca="1">IFERROR(__xludf.DUMMYFUNCTION("IMPORTRANGE(""https://docs.google.com/spreadsheets/d/1SX6NBoVAgQJ6U1MVXOaj8PK2l7WJ3RER9xtqwdhxkhw/edit?usp=sharing"",""ประจวบคีรีขันธ์!J181"")"),0)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IFERROR(__xludf.DUMMYFUNCTION("IMPORTRANGE(""https://docs.google.com/spreadsheets/d/1SX6NBoVAgQJ6U1MVXOaj8PK2l7WJ3RER9xtqwdhxkhw/edit?usp=sharing"",""ประจวบคีรีขันธ์!I182"")"),0)</f>
        <v>0</v>
      </c>
      <c r="J267" s="189">
        <f ca="1">IFERROR(__xludf.DUMMYFUNCTION("IMPORTRANGE(""https://docs.google.com/spreadsheets/d/1SX6NBoVAgQJ6U1MVXOaj8PK2l7WJ3RER9xtqwdhxkhw/edit?usp=sharing"",""ประจวบคีรีขันธ์!J182"")"),0)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IFERROR(__xludf.DUMMYFUNCTION("IMPORTRANGE(""https://docs.google.com/spreadsheets/d/1SX6NBoVAgQJ6U1MVXOaj8PK2l7WJ3RER9xtqwdhxkhw/edit?usp=sharing"",""ประจวบคีรีขันธ์!J183"")"),0)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IFERROR(__xludf.DUMMYFUNCTION("IMPORTRANGE(""https://docs.google.com/spreadsheets/d/1SX6NBoVAgQJ6U1MVXOaj8PK2l7WJ3RER9xtqwdhxkhw/edit?usp=sharing"",""ประจวบคีรีขันธ์!J184"")"),0)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IFERROR(__xludf.DUMMYFUNCTION("IMPORTRANGE(""https://docs.google.com/spreadsheets/d/1SX6NBoVAgQJ6U1MVXOaj8PK2l7WJ3RER9xtqwdhxkhw/edit?usp=sharing"",""ประจวบคีรีขันธ์!I185"")"),0)</f>
        <v>0</v>
      </c>
      <c r="J270" s="316">
        <f ca="1">IFERROR(__xludf.DUMMYFUNCTION("IMPORTRANGE(""https://docs.google.com/spreadsheets/d/1SX6NBoVAgQJ6U1MVXOaj8PK2l7WJ3RER9xtqwdhxkhw/edit?usp=sharing"",""ประจวบคีรีขันธ์!J185"")"),0)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IFERROR(__xludf.DUMMYFUNCTION("IMPORTRANGE(""https://docs.google.com/spreadsheets/d/1Yj_ptqi66GCucihVvJfMjLAmec39IyEx_6qawtMGysU/edit?usp=sharing"",""สบก!CK68"")"),0)</f>
        <v>0</v>
      </c>
      <c r="N275" s="169">
        <f ca="1">IFERROR(__xludf.DUMMYFUNCTION("IMPORTRANGE(""https://docs.google.com/spreadsheets/d/1Yj_ptqi66GCucihVvJfMjLAmec39IyEx_6qawtMGysU/edit?usp=sharing"",""สบก!CL68"")"),0)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IFERROR(__xludf.DUMMYFUNCTION("IMPORTRANGE(""https://docs.google.com/spreadsheets/d/1Yj_ptqi66GCucihVvJfMjLAmec39IyEx_6qawtMGysU/edit?usp=sharing"",""สบก!CG68"")"),0)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IFERROR(__xludf.DUMMYFUNCTION("IMPORTRANGE(""https://docs.google.com/spreadsheets/d/1Yj_ptqi66GCucihVvJfMjLAmec39IyEx_6qawtMGysU/edit?usp=sharing"",""สบก!CH68"")"),0)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IFERROR(__xludf.DUMMYFUNCTION("IMPORTRANGE(""https://docs.google.com/spreadsheets/d/1Yj_ptqi66GCucihVvJfMjLAmec39IyEx_6qawtMGysU/edit?usp=sharing"",""สบก!CI68"")"),0)</f>
        <v>0</v>
      </c>
      <c r="M279" s="49"/>
      <c r="N279" s="49">
        <f ca="1">IFERROR(__xludf.DUMMYFUNCTION("IMPORTRANGE(""https://docs.google.com/spreadsheets/d/1Yj_ptqi66GCucihVvJfMjLAmec39IyEx_6qawtMGysU/edit?usp=sharing"",""สบก!CM68"")"),0)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IFERROR(__xludf.DUMMYFUNCTION("IMPORTRANGE(""https://docs.google.com/spreadsheets/d/1SX6NBoVAgQJ6U1MVXOaj8PK2l7WJ3RER9xtqwdhxkhw/edit?usp=sharing"",""ประจวบคีรีขันธ์!J191"")"),0)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IFERROR(__xludf.DUMMYFUNCTION("IMPORTRANGE(""https://docs.google.com/spreadsheets/d/1SX6NBoVAgQJ6U1MVXOaj8PK2l7WJ3RER9xtqwdhxkhw/edit?usp=sharing"",""ประจวบคีรีขันธ์!J192"")"),0)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IFERROR(__xludf.DUMMYFUNCTION("IMPORTRANGE(""https://docs.google.com/spreadsheets/d/1SX6NBoVAgQJ6U1MVXOaj8PK2l7WJ3RER9xtqwdhxkhw/edit?usp=sharing"",""ประจวบคีรีขันธ์!J193"")"),0)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IFERROR(__xludf.DUMMYFUNCTION("IMPORTRANGE(""https://docs.google.com/spreadsheets/d/1SX6NBoVAgQJ6U1MVXOaj8PK2l7WJ3RER9xtqwdhxkhw/edit?usp=sharing"",""ประจวบคีรีขันธ์!J194"")"),0)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IFERROR(__xludf.DUMMYFUNCTION("IMPORTRANGE(""https://docs.google.com/spreadsheets/d/1SX6NBoVAgQJ6U1MVXOaj8PK2l7WJ3RER9xtqwdhxkhw/edit?usp=sharing"",""ประจวบคีรีขันธ์!I195"")"),0)</f>
        <v>0</v>
      </c>
      <c r="J285" s="189">
        <f ca="1">IFERROR(__xludf.DUMMYFUNCTION("IMPORTRANGE(""https://docs.google.com/spreadsheets/d/1SX6NBoVAgQJ6U1MVXOaj8PK2l7WJ3RER9xtqwdhxkhw/edit?usp=sharing"",""ประจวบคีรีขันธ์!J195"")"),0)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IFERROR(__xludf.DUMMYFUNCTION("IMPORTRANGE(""https://docs.google.com/spreadsheets/d/1SX6NBoVAgQJ6U1MVXOaj8PK2l7WJ3RER9xtqwdhxkhw/edit?usp=sharing"",""ประจวบคีรีขันธ์!J196"")"),0)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IFERROR(__xludf.DUMMYFUNCTION("IMPORTRANGE(""https://docs.google.com/spreadsheets/d/1SX6NBoVAgQJ6U1MVXOaj8PK2l7WJ3RER9xtqwdhxkhw/edit?usp=sharing"",""ประจวบคีรีขันธ์!J197"")"),0)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IFERROR(__xludf.DUMMYFUNCTION("IMPORTRANGE(""https://docs.google.com/spreadsheets/d/1SX6NBoVAgQJ6U1MVXOaj8PK2l7WJ3RER9xtqwdhxkhw/edit?usp=sharing"",""ประจวบคีรีขันธ์!I199"")"),0)</f>
        <v>0</v>
      </c>
      <c r="J289" s="316">
        <f ca="1">IFERROR(__xludf.DUMMYFUNCTION("IMPORTRANGE(""https://docs.google.com/spreadsheets/d/1SX6NBoVAgQJ6U1MVXOaj8PK2l7WJ3RER9xtqwdhxkhw/edit?usp=sharing"",""ประจวบคีรีขันธ์!J199"")"),0)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IFERROR(__xludf.DUMMYFUNCTION("IMPORTRANGE(""https://docs.google.com/spreadsheets/d/1Yj_ptqi66GCucihVvJfMjLAmec39IyEx_6qawtMGysU/edit?usp=sharing"",""สบก!CT68"")"),0)</f>
        <v>0</v>
      </c>
      <c r="N294" s="169">
        <f ca="1">IFERROR(__xludf.DUMMYFUNCTION("IMPORTRANGE(""https://docs.google.com/spreadsheets/d/1Yj_ptqi66GCucihVvJfMjLAmec39IyEx_6qawtMGysU/edit?usp=sharing"",""สบก!CU68"")"),0)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IFERROR(__xludf.DUMMYFUNCTION("IMPORTRANGE(""https://docs.google.com/spreadsheets/d/1Yj_ptqi66GCucihVvJfMjLAmec39IyEx_6qawtMGysU/edit?usp=sharing"",""สบก!CP68"")"),0)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IFERROR(__xludf.DUMMYFUNCTION("IMPORTRANGE(""https://docs.google.com/spreadsheets/d/1Yj_ptqi66GCucihVvJfMjLAmec39IyEx_6qawtMGysU/edit?usp=sharing"",""สบก!CQ68"")"),0)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IFERROR(__xludf.DUMMYFUNCTION("IMPORTRANGE(""https://docs.google.com/spreadsheets/d/1Yj_ptqi66GCucihVvJfMjLAmec39IyEx_6qawtMGysU/edit?usp=sharing"",""สบก!CR68"")"),0)</f>
        <v>0</v>
      </c>
      <c r="M298" s="49"/>
      <c r="N298" s="49">
        <f ca="1">IFERROR(__xludf.DUMMYFUNCTION("IMPORTRANGE(""https://docs.google.com/spreadsheets/d/1Yj_ptqi66GCucihVvJfMjLAmec39IyEx_6qawtMGysU/edit?usp=sharing"",""สบก!CV68"")"),0)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IFERROR(__xludf.DUMMYFUNCTION("IMPORTRANGE(""https://docs.google.com/spreadsheets/d/1SX6NBoVAgQJ6U1MVXOaj8PK2l7WJ3RER9xtqwdhxkhw/edit?usp=sharing"",""ประจวบคีรีขันธ์!J205"")"),0)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IFERROR(__xludf.DUMMYFUNCTION("IMPORTRANGE(""https://docs.google.com/spreadsheets/d/1SX6NBoVAgQJ6U1MVXOaj8PK2l7WJ3RER9xtqwdhxkhw/edit?usp=sharing"",""ประจวบคีรีขันธ์!J206"")"),0)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IFERROR(__xludf.DUMMYFUNCTION("IMPORTRANGE(""https://docs.google.com/spreadsheets/d/1SX6NBoVAgQJ6U1MVXOaj8PK2l7WJ3RER9xtqwdhxkhw/edit?usp=sharing"",""ประจวบคีรีขันธ์!J207"")"),0)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IFERROR(__xludf.DUMMYFUNCTION("IMPORTRANGE(""https://docs.google.com/spreadsheets/d/1SX6NBoVAgQJ6U1MVXOaj8PK2l7WJ3RER9xtqwdhxkhw/edit?usp=sharing"",""ประจวบคีรีขันธ์!J208"")"),0)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IFERROR(__xludf.DUMMYFUNCTION("IMPORTRANGE(""https://docs.google.com/spreadsheets/d/1SX6NBoVAgQJ6U1MVXOaj8PK2l7WJ3RER9xtqwdhxkhw/edit?usp=sharing"",""ประจวบคีรีขันธ์!I209"")"),0)</f>
        <v>0</v>
      </c>
      <c r="J304" s="204">
        <f ca="1">IFERROR(__xludf.DUMMYFUNCTION("IMPORTRANGE(""https://docs.google.com/spreadsheets/d/1SX6NBoVAgQJ6U1MVXOaj8PK2l7WJ3RER9xtqwdhxkhw/edit?usp=sharing"",""ประจวบคีรีขันธ์!J209"")"),0)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IFERROR(__xludf.DUMMYFUNCTION("IMPORTRANGE(""https://docs.google.com/spreadsheets/d/1SX6NBoVAgQJ6U1MVXOaj8PK2l7WJ3RER9xtqwdhxkhw/edit?usp=sharing"",""ประจวบคีรีขันธ์!I211"")"),0)</f>
        <v>0</v>
      </c>
      <c r="J306" s="204">
        <f ca="1">IFERROR(__xludf.DUMMYFUNCTION("IMPORTRANGE(""https://docs.google.com/spreadsheets/d/1SX6NBoVAgQJ6U1MVXOaj8PK2l7WJ3RER9xtqwdhxkhw/edit?usp=sharing"",""ประจวบคีรีขันธ์!J211"")"),0)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IFERROR(__xludf.DUMMYFUNCTION("IMPORTRANGE(""https://docs.google.com/spreadsheets/d/1SX6NBoVAgQJ6U1MVXOaj8PK2l7WJ3RER9xtqwdhxkhw/edit?usp=sharing"",""ประจวบคีรีขันธ์!J212"")"),0)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IFERROR(__xludf.DUMMYFUNCTION("IMPORTRANGE(""https://docs.google.com/spreadsheets/d/1SX6NBoVAgQJ6U1MVXOaj8PK2l7WJ3RER9xtqwdhxkhw/edit?usp=sharing"",""ประจวบคีรีขันธ์!J213"")"),0)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IFERROR(__xludf.DUMMYFUNCTION("IMPORTRANGE(""https://docs.google.com/spreadsheets/d/1SX6NBoVAgQJ6U1MVXOaj8PK2l7WJ3RER9xtqwdhxkhw/edit?usp=sharing"",""ประจวบคีรีขันธ์!I214"")"),0)</f>
        <v>0</v>
      </c>
      <c r="J309" s="333">
        <f ca="1">IFERROR(__xludf.DUMMYFUNCTION("IMPORTRANGE(""https://docs.google.com/spreadsheets/d/1SX6NBoVAgQJ6U1MVXOaj8PK2l7WJ3RER9xtqwdhxkhw/edit?usp=sharing"",""ประจวบคีรีขันธ์!J214"")"),0)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IFERROR(__xludf.DUMMYFUNCTION("IMPORTRANGE(""https://docs.google.com/spreadsheets/d/1Yj_ptqi66GCucihVvJfMjLAmec39IyEx_6qawtMGysU/edit?usp=sharing"",""สบก!DC68"")"),0)</f>
        <v>0</v>
      </c>
      <c r="N314" s="169">
        <f ca="1">IFERROR(__xludf.DUMMYFUNCTION("IMPORTRANGE(""https://docs.google.com/spreadsheets/d/1Yj_ptqi66GCucihVvJfMjLAmec39IyEx_6qawtMGysU/edit?usp=sharing"",""สบก!DD68"")"),0)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IFERROR(__xludf.DUMMYFUNCTION("IMPORTRANGE(""https://docs.google.com/spreadsheets/d/1Yj_ptqi66GCucihVvJfMjLAmec39IyEx_6qawtMGysU/edit?usp=sharing"",""สบก!CY68"")"),0)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IFERROR(__xludf.DUMMYFUNCTION("IMPORTRANGE(""https://docs.google.com/spreadsheets/d/1Yj_ptqi66GCucihVvJfMjLAmec39IyEx_6qawtMGysU/edit?usp=sharing"",""สบก!CZ68"")"),0)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IFERROR(__xludf.DUMMYFUNCTION("IMPORTRANGE(""https://docs.google.com/spreadsheets/d/1Yj_ptqi66GCucihVvJfMjLAmec39IyEx_6qawtMGysU/edit?usp=sharing"",""สบก!DA68"")"),0)</f>
        <v>0</v>
      </c>
      <c r="M318" s="49"/>
      <c r="N318" s="49">
        <f ca="1">IFERROR(__xludf.DUMMYFUNCTION("IMPORTRANGE(""https://docs.google.com/spreadsheets/d/1Yj_ptqi66GCucihVvJfMjLAmec39IyEx_6qawtMGysU/edit?usp=sharing"",""สบก!DE68"")"),0)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IFERROR(__xludf.DUMMYFUNCTION("IMPORTRANGE(""https://docs.google.com/spreadsheets/d/1SX6NBoVAgQJ6U1MVXOaj8PK2l7WJ3RER9xtqwdhxkhw/edit?usp=sharing"",""ประจวบคีรีขันธ์!J220"")"),0)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IFERROR(__xludf.DUMMYFUNCTION("IMPORTRANGE(""https://docs.google.com/spreadsheets/d/1SX6NBoVAgQJ6U1MVXOaj8PK2l7WJ3RER9xtqwdhxkhw/edit?usp=sharing"",""ประจวบคีรีขันธ์!J221"")"),0)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IFERROR(__xludf.DUMMYFUNCTION("IMPORTRANGE(""https://docs.google.com/spreadsheets/d/1SX6NBoVAgQJ6U1MVXOaj8PK2l7WJ3RER9xtqwdhxkhw/edit?usp=sharing"",""ประจวบคีรีขันธ์!J222"")"),0)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IFERROR(__xludf.DUMMYFUNCTION("IMPORTRANGE(""https://docs.google.com/spreadsheets/d/1SX6NBoVAgQJ6U1MVXOaj8PK2l7WJ3RER9xtqwdhxkhw/edit?usp=sharing"",""ประจวบคีรีขันธ์!J223"")"),0)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IFERROR(__xludf.DUMMYFUNCTION("IMPORTRANGE(""https://docs.google.com/spreadsheets/d/1SX6NBoVAgQJ6U1MVXOaj8PK2l7WJ3RER9xtqwdhxkhw/edit?usp=sharing"",""ประจวบคีรีขันธ์!I224"")"),0)</f>
        <v>0</v>
      </c>
      <c r="J324" s="204">
        <f ca="1">IFERROR(__xludf.DUMMYFUNCTION("IMPORTRANGE(""https://docs.google.com/spreadsheets/d/1SX6NBoVAgQJ6U1MVXOaj8PK2l7WJ3RER9xtqwdhxkhw/edit?usp=sharing"",""ประจวบคีรีขันธ์!J224"")"),0)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IFERROR(__xludf.DUMMYFUNCTION("IMPORTRANGE(""https://docs.google.com/spreadsheets/d/1SX6NBoVAgQJ6U1MVXOaj8PK2l7WJ3RER9xtqwdhxkhw/edit?usp=sharing"",""ประจวบคีรีขันธ์!J225"")"),0)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IFERROR(__xludf.DUMMYFUNCTION("IMPORTRANGE(""https://docs.google.com/spreadsheets/d/1SX6NBoVAgQJ6U1MVXOaj8PK2l7WJ3RER9xtqwdhxkhw/edit?usp=sharing"",""ประจวบคีรีขันธ์!J226"")"),0)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IFERROR(__xludf.DUMMYFUNCTION("IMPORTRANGE(""https://docs.google.com/spreadsheets/d/1SX6NBoVAgQJ6U1MVXOaj8PK2l7WJ3RER9xtqwdhxkhw/edit?usp=sharing"",""ประจวบคีรีขันธ์!I228"")"),135)</f>
        <v>135</v>
      </c>
      <c r="J328" s="339">
        <f ca="1">IFERROR(__xludf.DUMMYFUNCTION("IMPORTRANGE(""https://docs.google.com/spreadsheets/d/1SX6NBoVAgQJ6U1MVXOaj8PK2l7WJ3RER9xtqwdhxkhw/edit?usp=sharing"",""ประจวบคีรีขันธ์!J228"")"),17)</f>
        <v>17</v>
      </c>
      <c r="K328" s="317">
        <f ca="1">IF(I328&gt;0,J328*100/I328,0)</f>
        <v>12.592592592592593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931960</v>
      </c>
      <c r="M329" s="152">
        <f t="shared" ca="1" si="98"/>
        <v>716350</v>
      </c>
      <c r="N329" s="152">
        <f t="shared" ca="1" si="98"/>
        <v>477051.52</v>
      </c>
      <c r="O329" s="151">
        <f t="shared" ref="O329:O331" ca="1" si="99">IF(L329&gt;0,N329*100/L329,0)</f>
        <v>51.187982316837633</v>
      </c>
      <c r="P329" s="151">
        <f t="shared" ref="P329:P331" ca="1" si="100">IF(M329&gt;0,N329*100/M329,0)</f>
        <v>66.594753961052561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931960</v>
      </c>
      <c r="M331" s="157">
        <f t="shared" ca="1" si="102"/>
        <v>716350</v>
      </c>
      <c r="N331" s="157">
        <f t="shared" ca="1" si="102"/>
        <v>477051.52</v>
      </c>
      <c r="O331" s="156">
        <f t="shared" ca="1" si="99"/>
        <v>51.187982316837633</v>
      </c>
      <c r="P331" s="156">
        <f t="shared" ca="1" si="100"/>
        <v>66.594753961052561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784960</v>
      </c>
      <c r="M333" s="168">
        <f ca="1">IFERROR(__xludf.DUMMYFUNCTION("IMPORTRANGE(""https://docs.google.com/spreadsheets/d/1Yj_ptqi66GCucihVvJfMjLAmec39IyEx_6qawtMGysU/edit?usp=sharing"",""สบก!DL68"")"),569350)</f>
        <v>569350</v>
      </c>
      <c r="N333" s="169">
        <f ca="1">IFERROR(__xludf.DUMMYFUNCTION("IMPORTRANGE(""https://docs.google.com/spreadsheets/d/1Yj_ptqi66GCucihVvJfMjLAmec39IyEx_6qawtMGysU/edit?usp=sharing"",""สบก!DM68"")"),330051.52)</f>
        <v>330051.52</v>
      </c>
      <c r="O333" s="169">
        <f ca="1">IF(L333&gt;0,N333*100/L333,0)</f>
        <v>42.046922136159807</v>
      </c>
      <c r="P333" s="169">
        <f ca="1">IF(M333&gt;0,N333*100/M333,0)</f>
        <v>57.969881443751646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IFERROR(__xludf.DUMMYFUNCTION("IMPORTRANGE(""https://docs.google.com/spreadsheets/d/1Yj_ptqi66GCucihVvJfMjLAmec39IyEx_6qawtMGysU/edit?usp=sharing"",""สบก!DH68"")"),505100)</f>
        <v>505100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IFERROR(__xludf.DUMMYFUNCTION("IMPORTRANGE(""https://docs.google.com/spreadsheets/d/1Yj_ptqi66GCucihVvJfMjLAmec39IyEx_6qawtMGysU/edit?usp=sharing"",""สบก!DI68"")"),279860)</f>
        <v>279860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IFERROR(__xludf.DUMMYFUNCTION("IMPORTRANGE(""https://docs.google.com/spreadsheets/d/1Yj_ptqi66GCucihVvJfMjLAmec39IyEx_6qawtMGysU/edit?usp=sharing"",""สบก!DJ68"")"),147000)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IFERROR(__xludf.DUMMYFUNCTION("IMPORTRANGE(""https://docs.google.com/spreadsheets/d/1Yj_ptqi66GCucihVvJfMjLAmec39IyEx_6qawtMGysU/edit?usp=sharing"",""สบก!DN68"")"),147000)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IFERROR(__xludf.DUMMYFUNCTION("IMPORTRANGE(""https://docs.google.com/spreadsheets/d/1SX6NBoVAgQJ6U1MVXOaj8PK2l7WJ3RER9xtqwdhxkhw/edit?usp=sharing"",""ประจวบคีรีขันธ์!I234"")"),0)</f>
        <v>0</v>
      </c>
      <c r="J339" s="188">
        <f ca="1">IFERROR(__xludf.DUMMYFUNCTION("IMPORTRANGE(""https://docs.google.com/spreadsheets/d/1SX6NBoVAgQJ6U1MVXOaj8PK2l7WJ3RER9xtqwdhxkhw/edit?usp=sharing"",""ประจวบคีรีขันธ์!J234"")"),23)</f>
        <v>23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IFERROR(__xludf.DUMMYFUNCTION("IMPORTRANGE(""https://docs.google.com/spreadsheets/d/1SX6NBoVAgQJ6U1MVXOaj8PK2l7WJ3RER9xtqwdhxkhw/edit?usp=sharing"",""ประจวบคีรีขันธ์!I235"")"),780)</f>
        <v>780</v>
      </c>
      <c r="J340" s="188">
        <f ca="1">IFERROR(__xludf.DUMMYFUNCTION("IMPORTRANGE(""https://docs.google.com/spreadsheets/d/1SX6NBoVAgQJ6U1MVXOaj8PK2l7WJ3RER9xtqwdhxkhw/edit?usp=sharing"",""ประจวบคีรีขันธ์!J235"")"),114.83)</f>
        <v>114.83</v>
      </c>
      <c r="K340" s="342">
        <f t="shared" ca="1" si="103"/>
        <v>14.721794871794872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IFERROR(__xludf.DUMMYFUNCTION("IMPORTRANGE(""https://docs.google.com/spreadsheets/d/1SX6NBoVAgQJ6U1MVXOaj8PK2l7WJ3RER9xtqwdhxkhw/edit?usp=sharing"",""ประจวบคีรีขันธ์!I236"")"),135)</f>
        <v>135</v>
      </c>
      <c r="J341" s="188">
        <f ca="1">IFERROR(__xludf.DUMMYFUNCTION("IMPORTRANGE(""https://docs.google.com/spreadsheets/d/1SX6NBoVAgQJ6U1MVXOaj8PK2l7WJ3RER9xtqwdhxkhw/edit?usp=sharing"",""ประจวบคีรีขันธ์!J236"")"),14)</f>
        <v>14</v>
      </c>
      <c r="K341" s="342">
        <f t="shared" ca="1" si="103"/>
        <v>10.37037037037037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IFERROR(__xludf.DUMMYFUNCTION("IMPORTRANGE(""https://docs.google.com/spreadsheets/d/1SX6NBoVAgQJ6U1MVXOaj8PK2l7WJ3RER9xtqwdhxkhw/edit?usp=sharing"",""ประจวบคีรีขันธ์!I237"")"),0)</f>
        <v>0</v>
      </c>
      <c r="J342" s="188">
        <f ca="1">IFERROR(__xludf.DUMMYFUNCTION("IMPORTRANGE(""https://docs.google.com/spreadsheets/d/1SX6NBoVAgQJ6U1MVXOaj8PK2l7WJ3RER9xtqwdhxkhw/edit?usp=sharing"",""ประจวบคีรีขันธ์!J237"")"),172.68)</f>
        <v>172.68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IFERROR(__xludf.DUMMYFUNCTION("IMPORTRANGE(""https://docs.google.com/spreadsheets/d/1SX6NBoVAgQJ6U1MVXOaj8PK2l7WJ3RER9xtqwdhxkhw/edit?usp=sharing"",""ประจวบคีรีขันธ์!I238"")"),135)</f>
        <v>135</v>
      </c>
      <c r="J343" s="188">
        <f ca="1">IFERROR(__xludf.DUMMYFUNCTION("IMPORTRANGE(""https://docs.google.com/spreadsheets/d/1SX6NBoVAgQJ6U1MVXOaj8PK2l7WJ3RER9xtqwdhxkhw/edit?usp=sharing"",""ประจวบคีรีขันธ์!J238"")"),0)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IFERROR(__xludf.DUMMYFUNCTION("IMPORTRANGE(""https://docs.google.com/spreadsheets/d/1SX6NBoVAgQJ6U1MVXOaj8PK2l7WJ3RER9xtqwdhxkhw/edit?usp=sharing"",""ประจวบคีรีขันธ์!I239"")"),0)</f>
        <v>0</v>
      </c>
      <c r="J344" s="188">
        <f ca="1">IFERROR(__xludf.DUMMYFUNCTION("IMPORTRANGE(""https://docs.google.com/spreadsheets/d/1SX6NBoVAgQJ6U1MVXOaj8PK2l7WJ3RER9xtqwdhxkhw/edit?usp=sharing"",""ประจวบคีรีขันธ์!J239"")"),0)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IFERROR(__xludf.DUMMYFUNCTION("IMPORTRANGE(""https://docs.google.com/spreadsheets/d/1SX6NBoVAgQJ6U1MVXOaj8PK2l7WJ3RER9xtqwdhxkhw/edit?usp=sharing"",""ประจวบคีรีขันธ์!I240"")"),135)</f>
        <v>135</v>
      </c>
      <c r="J345" s="188">
        <f ca="1">IFERROR(__xludf.DUMMYFUNCTION("IMPORTRANGE(""https://docs.google.com/spreadsheets/d/1SX6NBoVAgQJ6U1MVXOaj8PK2l7WJ3RER9xtqwdhxkhw/edit?usp=sharing"",""ประจวบคีรีขันธ์!J240"")"),17)</f>
        <v>17</v>
      </c>
      <c r="K345" s="342">
        <f t="shared" ca="1" si="103"/>
        <v>12.592592592592593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IFERROR(__xludf.DUMMYFUNCTION("IMPORTRANGE(""https://docs.google.com/spreadsheets/d/1SX6NBoVAgQJ6U1MVXOaj8PK2l7WJ3RER9xtqwdhxkhw/edit?usp=sharing"",""ประจวบคีรีขันธ์!I241"")"),0)</f>
        <v>0</v>
      </c>
      <c r="J346" s="188">
        <f ca="1">IFERROR(__xludf.DUMMYFUNCTION("IMPORTRANGE(""https://docs.google.com/spreadsheets/d/1SX6NBoVAgQJ6U1MVXOaj8PK2l7WJ3RER9xtqwdhxkhw/edit?usp=sharing"",""ประจวบคีรีขันธ์!J241"")"),197.91)</f>
        <v>197.91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IFERROR(__xludf.DUMMYFUNCTION("IMPORTRANGE(""https://docs.google.com/spreadsheets/d/1SX6NBoVAgQJ6U1MVXOaj8PK2l7WJ3RER9xtqwdhxkhw/edit?usp=sharing"",""ประจวบคีรีขันธ์!L242"")"),949579)</f>
        <v>949579</v>
      </c>
      <c r="M347" s="358"/>
      <c r="N347" s="358">
        <f ca="1">IFERROR(__xludf.DUMMYFUNCTION("IMPORTRANGE(""https://docs.google.com/spreadsheets/d/1SX6NBoVAgQJ6U1MVXOaj8PK2l7WJ3RER9xtqwdhxkhw/edit?usp=sharing"",""ประจวบคีรีขันธ์!M242"")"),730895.89)</f>
        <v>730895.89</v>
      </c>
      <c r="O347" s="358">
        <f ca="1">+IF(L347&gt;0,N347*100/L347,0)</f>
        <v>76.970519567092367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IFERROR(__xludf.DUMMYFUNCTION("IMPORTRANGE(""https://docs.google.com/spreadsheets/d/1SX6NBoVAgQJ6U1MVXOaj8PK2l7WJ3RER9xtqwdhxkhw/edit?usp=sharing"",""ประจวบคีรีขันธ์!I244"")"),0)</f>
        <v>0</v>
      </c>
      <c r="J349" s="371">
        <f ca="1">IFERROR(__xludf.DUMMYFUNCTION("IMPORTRANGE(""https://docs.google.com/spreadsheets/d/1SX6NBoVAgQJ6U1MVXOaj8PK2l7WJ3RER9xtqwdhxkhw/edit?usp=sharing"",""ประจวบคีรีขันธ์!J244"")"),0)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IFERROR(__xludf.DUMMYFUNCTION("IMPORTRANGE(""https://docs.google.com/spreadsheets/d/1SX6NBoVAgQJ6U1MVXOaj8PK2l7WJ3RER9xtqwdhxkhw/edit?usp=sharing"",""ประจวบคีรีขันธ์!L244"")"),0)</f>
        <v>0</v>
      </c>
      <c r="M349" s="373"/>
      <c r="N349" s="373">
        <f ca="1">IFERROR(__xludf.DUMMYFUNCTION("IMPORTRANGE(""https://docs.google.com/spreadsheets/d/1SX6NBoVAgQJ6U1MVXOaj8PK2l7WJ3RER9xtqwdhxkhw/edit?usp=sharing"",""ประจวบคีรีขันธ์!M244"")"),0)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IFERROR(__xludf.DUMMYFUNCTION("IMPORTRANGE(""https://docs.google.com/spreadsheets/d/1SX6NBoVAgQJ6U1MVXOaj8PK2l7WJ3RER9xtqwdhxkhw/edit?usp=sharing"",""ประจวบคีรีขันธ์!I245"")"),0)</f>
        <v>0</v>
      </c>
      <c r="J350" s="371">
        <f ca="1">IFERROR(__xludf.DUMMYFUNCTION("IMPORTRANGE(""https://docs.google.com/spreadsheets/d/1SX6NBoVAgQJ6U1MVXOaj8PK2l7WJ3RER9xtqwdhxkhw/edit?usp=sharing"",""ประจวบคีรีขันธ์!J245"")"),0)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IFERROR(__xludf.DUMMYFUNCTION("IMPORTRANGE(""https://docs.google.com/spreadsheets/d/1SX6NBoVAgQJ6U1MVXOaj8PK2l7WJ3RER9xtqwdhxkhw/edit?usp=sharing"",""ประจวบคีรีขันธ์!L246"")"),0)</f>
        <v>0</v>
      </c>
      <c r="M351" s="164"/>
      <c r="N351" s="164">
        <f ca="1">IFERROR(__xludf.DUMMYFUNCTION("IMPORTRANGE(""https://docs.google.com/spreadsheets/d/1SX6NBoVAgQJ6U1MVXOaj8PK2l7WJ3RER9xtqwdhxkhw/edit?usp=sharing"",""ประจวบคีรีขันธ์!M246"")"),0)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IFERROR(__xludf.DUMMYFUNCTION("IMPORTRANGE(""https://docs.google.com/spreadsheets/d/1SX6NBoVAgQJ6U1MVXOaj8PK2l7WJ3RER9xtqwdhxkhw/edit?usp=sharing"",""ประจวบคีรีขันธ์!L247"")"),0)</f>
        <v>0</v>
      </c>
      <c r="M352" s="165"/>
      <c r="N352" s="164">
        <f ca="1">IFERROR(__xludf.DUMMYFUNCTION("IMPORTRANGE(""https://docs.google.com/spreadsheets/d/1SX6NBoVAgQJ6U1MVXOaj8PK2l7WJ3RER9xtqwdhxkhw/edit?usp=sharing"",""ประจวบคีรีขันธ์!M247"")"),0)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IFERROR(__xludf.DUMMYFUNCTION("IMPORTRANGE(""https://docs.google.com/spreadsheets/d/1SX6NBoVAgQJ6U1MVXOaj8PK2l7WJ3RER9xtqwdhxkhw/edit?usp=sharing"",""ประจวบคีรีขันธ์!L248"")"),0)</f>
        <v>0</v>
      </c>
      <c r="M353" s="169"/>
      <c r="N353" s="169">
        <f ca="1">IFERROR(__xludf.DUMMYFUNCTION("IMPORTRANGE(""https://docs.google.com/spreadsheets/d/1SX6NBoVAgQJ6U1MVXOaj8PK2l7WJ3RER9xtqwdhxkhw/edit?usp=sharing"",""ประจวบคีรีขันธ์!M248"")"),0)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IFERROR(__xludf.DUMMYFUNCTION("IMPORTRANGE(""https://docs.google.com/spreadsheets/d/1SX6NBoVAgQJ6U1MVXOaj8PK2l7WJ3RER9xtqwdhxkhw/edit?usp=sharing"",""ประจวบคีรีขันธ์!L249"")"),0)</f>
        <v>0</v>
      </c>
      <c r="M354" s="169"/>
      <c r="N354" s="168">
        <f ca="1">IFERROR(__xludf.DUMMYFUNCTION("IMPORTRANGE(""https://docs.google.com/spreadsheets/d/1SX6NBoVAgQJ6U1MVXOaj8PK2l7WJ3RER9xtqwdhxkhw/edit?usp=sharing"",""ประจวบคีรีขันธ์!M249"")"),0)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IFERROR(__xludf.DUMMYFUNCTION("IMPORTRANGE(""https://docs.google.com/spreadsheets/d/1SX6NBoVAgQJ6U1MVXOaj8PK2l7WJ3RER9xtqwdhxkhw/edit?usp=sharing"",""ประจวบคีรีขันธ์!M250"")"),0)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IFERROR(__xludf.DUMMYFUNCTION("IMPORTRANGE(""https://docs.google.com/spreadsheets/d/1SX6NBoVAgQJ6U1MVXOaj8PK2l7WJ3RER9xtqwdhxkhw/edit?usp=sharing"",""ประจวบคีรีขันธ์!M251"")"),0)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IFERROR(__xludf.DUMMYFUNCTION("IMPORTRANGE(""https://docs.google.com/spreadsheets/d/1SX6NBoVAgQJ6U1MVXOaj8PK2l7WJ3RER9xtqwdhxkhw/edit?usp=sharing"",""ประจวบคีรีขันธ์!M252"")"),0)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IFERROR(__xludf.DUMMYFUNCTION("IMPORTRANGE(""https://docs.google.com/spreadsheets/d/1SX6NBoVAgQJ6U1MVXOaj8PK2l7WJ3RER9xtqwdhxkhw/edit?usp=sharing"",""ประจวบคีรีขันธ์!M253"")"),0)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IFERROR(__xludf.DUMMYFUNCTION("IMPORTRANGE(""https://docs.google.com/spreadsheets/d/1SX6NBoVAgQJ6U1MVXOaj8PK2l7WJ3RER9xtqwdhxkhw/edit?usp=sharing"",""ประจวบคีรีขันธ์!J255"")"),0)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IFERROR(__xludf.DUMMYFUNCTION("IMPORTRANGE(""https://docs.google.com/spreadsheets/d/1SX6NBoVAgQJ6U1MVXOaj8PK2l7WJ3RER9xtqwdhxkhw/edit?usp=sharing"",""ประจวบคีรีขันธ์!J256"")"),0)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IFERROR(__xludf.DUMMYFUNCTION("IMPORTRANGE(""https://docs.google.com/spreadsheets/d/1SX6NBoVAgQJ6U1MVXOaj8PK2l7WJ3RER9xtqwdhxkhw/edit?usp=sharing"",""ประจวบคีรีขันธ์!J257"")"),0)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IFERROR(__xludf.DUMMYFUNCTION("IMPORTRANGE(""https://docs.google.com/spreadsheets/d/1SX6NBoVAgQJ6U1MVXOaj8PK2l7WJ3RER9xtqwdhxkhw/edit?usp=sharing"",""ประจวบคีรีขันธ์!J258"")"),0)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IFERROR(__xludf.DUMMYFUNCTION("IMPORTRANGE(""https://docs.google.com/spreadsheets/d/1SX6NBoVAgQJ6U1MVXOaj8PK2l7WJ3RER9xtqwdhxkhw/edit?usp=sharing"",""ประจวบคีรีขันธ์!I263"")"),0)</f>
        <v>0</v>
      </c>
      <c r="J368" s="188">
        <f ca="1">IFERROR(__xludf.DUMMYFUNCTION("IMPORTRANGE(""https://docs.google.com/spreadsheets/d/1SX6NBoVAgQJ6U1MVXOaj8PK2l7WJ3RER9xtqwdhxkhw/edit?usp=sharing"",""ประจวบคีรีขันธ์!J263"")"),0)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69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IFERROR(__xludf.DUMMYFUNCTION("IMPORTRANGE(""https://docs.google.com/spreadsheets/d/1SX6NBoVAgQJ6U1MVXOaj8PK2l7WJ3RER9xtqwdhxkhw/edit?usp=sharing"",""ประจวบคีรีขันธ์!I265"")"),0)</f>
        <v>0</v>
      </c>
      <c r="J370" s="204">
        <f ca="1">IFERROR(__xludf.DUMMYFUNCTION("IMPORTRANGE(""https://docs.google.com/spreadsheets/d/1SX6NBoVAgQJ6U1MVXOaj8PK2l7WJ3RER9xtqwdhxkhw/edit?usp=sharing"",""ประจวบคีรีขันธ์!J265"")"),0)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71" s="189">
        <f ca="1">IFERROR(__xludf.DUMMYFUNCTION("IMPORTRANGE(""https://docs.google.com/spreadsheets/d/1SX6NBoVAgQJ6U1MVXOaj8PK2l7WJ3RER9xtqwdhxkhw/edit?usp=sharing"",""ประจวบคีรีขันธ์!J164"")"),0)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IFERROR(__xludf.DUMMYFUNCTION("IMPORTRANGE(""https://docs.google.com/spreadsheets/d/1SX6NBoVAgQJ6U1MVXOaj8PK2l7WJ3RER9xtqwdhxkhw/edit?usp=sharing"",""ประจวบคีรีขันธ์!I267"")"),0)</f>
        <v>0</v>
      </c>
      <c r="J372" s="189">
        <f ca="1">IFERROR(__xludf.DUMMYFUNCTION("IMPORTRANGE(""https://docs.google.com/spreadsheets/d/1SX6NBoVAgQJ6U1MVXOaj8PK2l7WJ3RER9xtqwdhxkhw/edit?usp=sharing"",""ประจวบคีรีขันธ์!J267"")"),0)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3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IFERROR(__xludf.DUMMYFUNCTION("IMPORTRANGE(""https://docs.google.com/spreadsheets/d/1SX6NBoVAgQJ6U1MVXOaj8PK2l7WJ3RER9xtqwdhxkhw/edit?usp=sharing"",""ประจวบคีรีขันธ์!I270"")"),0)</f>
        <v>0</v>
      </c>
      <c r="J375" s="188">
        <f ca="1">IFERROR(__xludf.DUMMYFUNCTION("IMPORTRANGE(""https://docs.google.com/spreadsheets/d/1SX6NBoVAgQJ6U1MVXOaj8PK2l7WJ3RER9xtqwdhxkhw/edit?usp=sharing"",""ประจวบคีรีขันธ์!J270"")"),0)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IFERROR(__xludf.DUMMYFUNCTION("IMPORTRANGE(""https://docs.google.com/spreadsheets/d/1SX6NBoVAgQJ6U1MVXOaj8PK2l7WJ3RER9xtqwdhxkhw/edit?usp=sharing"",""ประจวบคีรีขันธ์!I271"")"),0)</f>
        <v>0</v>
      </c>
      <c r="J376" s="189">
        <f ca="1">IFERROR(__xludf.DUMMYFUNCTION("IMPORTRANGE(""https://docs.google.com/spreadsheets/d/1SX6NBoVAgQJ6U1MVXOaj8PK2l7WJ3RER9xtqwdhxkhw/edit?usp=sharing"",""ประจวบคีรีขันธ์!J271"")"),0)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IFERROR(__xludf.DUMMYFUNCTION("IMPORTRANGE(""https://docs.google.com/spreadsheets/d/1SX6NBoVAgQJ6U1MVXOaj8PK2l7WJ3RER9xtqwdhxkhw/edit?usp=sharing"",""ประจวบคีรีขันธ์!I272"")"),0)</f>
        <v>0</v>
      </c>
      <c r="J377" s="204">
        <f ca="1">IFERROR(__xludf.DUMMYFUNCTION("IMPORTRANGE(""https://docs.google.com/spreadsheets/d/1SX6NBoVAgQJ6U1MVXOaj8PK2l7WJ3RER9xtqwdhxkhw/edit?usp=sharing"",""ประจวบคีรีขันธ์!J272"")"),0)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IFERROR(__xludf.DUMMYFUNCTION("IMPORTRANGE(""https://docs.google.com/spreadsheets/d/1SX6NBoVAgQJ6U1MVXOaj8PK2l7WJ3RER9xtqwdhxkhw/edit?usp=sharing"",""ประจวบคีรีขันธ์!J273"")"),0)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IFERROR(__xludf.DUMMYFUNCTION("IMPORTRANGE(""https://docs.google.com/spreadsheets/d/1SX6NBoVAgQJ6U1MVXOaj8PK2l7WJ3RER9xtqwdhxkhw/edit?usp=sharing"",""ประจวบคีรีขันธ์!J274"")"),0)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IFERROR(__xludf.DUMMYFUNCTION("IMPORTRANGE(""https://docs.google.com/spreadsheets/d/1SX6NBoVAgQJ6U1MVXOaj8PK2l7WJ3RER9xtqwdhxkhw/edit?usp=sharing"",""ประจวบคีรีขันธ์!I275"")"),500)</f>
        <v>500</v>
      </c>
      <c r="J380" s="371">
        <f ca="1">IFERROR(__xludf.DUMMYFUNCTION("IMPORTRANGE(""https://docs.google.com/spreadsheets/d/1SX6NBoVAgQJ6U1MVXOaj8PK2l7WJ3RER9xtqwdhxkhw/edit?usp=sharing"",""ประจวบคีรีขันธ์!J275"")"),500)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IFERROR(__xludf.DUMMYFUNCTION("IMPORTRANGE(""https://docs.google.com/spreadsheets/d/1SX6NBoVAgQJ6U1MVXOaj8PK2l7WJ3RER9xtqwdhxkhw/edit?usp=sharing"",""ประจวบคีรีขันธ์!L275"")"),460140)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IFERROR(__xludf.DUMMYFUNCTION("IMPORTRANGE(""https://docs.google.com/spreadsheets/d/1SX6NBoVAgQJ6U1MVXOaj8PK2l7WJ3RER9xtqwdhxkhw/edit?usp=sharing"",""ประจวบคีรีขันธ์!M275"")"),451125)</f>
        <v>451125</v>
      </c>
      <c r="O380" s="373">
        <f ca="1">+IF(L380&gt;0,N380*100/L380,0)</f>
        <v>98.040813665406176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IFERROR(__xludf.DUMMYFUNCTION("IMPORTRANGE(""https://docs.google.com/spreadsheets/d/1SX6NBoVAgQJ6U1MVXOaj8PK2l7WJ3RER9xtqwdhxkhw/edit?usp=sharing"",""ประจวบคีรีขันธ์!I276"")"),50)</f>
        <v>50</v>
      </c>
      <c r="J381" s="371">
        <f ca="1">IFERROR(__xludf.DUMMYFUNCTION("IMPORTRANGE(""https://docs.google.com/spreadsheets/d/1SX6NBoVAgQJ6U1MVXOaj8PK2l7WJ3RER9xtqwdhxkhw/edit?usp=sharing"",""ประจวบคีรีขันธ์!J276"")"),50)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IFERROR(__xludf.DUMMYFUNCTION("IMPORTRANGE(""https://docs.google.com/spreadsheets/d/1SX6NBoVAgQJ6U1MVXOaj8PK2l7WJ3RER9xtqwdhxkhw/edit?usp=sharing"",""ประจวบคีรีขันธ์!L277"")"),0)</f>
        <v>0</v>
      </c>
      <c r="M382" s="164"/>
      <c r="N382" s="164">
        <f ca="1">IFERROR(__xludf.DUMMYFUNCTION("IMPORTRANGE(""https://docs.google.com/spreadsheets/d/1SX6NBoVAgQJ6U1MVXOaj8PK2l7WJ3RER9xtqwdhxkhw/edit?usp=sharing"",""ประจวบคีรีขันธ์!M277"")"),0)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IFERROR(__xludf.DUMMYFUNCTION("IMPORTRANGE(""https://docs.google.com/spreadsheets/d/1SX6NBoVAgQJ6U1MVXOaj8PK2l7WJ3RER9xtqwdhxkhw/edit?usp=sharing"",""ประจวบคีรีขันธ์!L278"")"),460140)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IFERROR(__xludf.DUMMYFUNCTION("IMPORTRANGE(""https://docs.google.com/spreadsheets/d/1SX6NBoVAgQJ6U1MVXOaj8PK2l7WJ3RER9xtqwdhxkhw/edit?usp=sharing"",""ประจวบคีรีขันธ์!M278"")"),451125)</f>
        <v>451125</v>
      </c>
      <c r="O383" s="165">
        <f t="shared" ca="1" si="109"/>
        <v>98.040813665406176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IFERROR(__xludf.DUMMYFUNCTION("IMPORTRANGE(""https://docs.google.com/spreadsheets/d/1SX6NBoVAgQJ6U1MVXOaj8PK2l7WJ3RER9xtqwdhxkhw/edit?usp=sharing"",""ประจวบคีรีขันธ์!L279"")"),0)</f>
        <v>0</v>
      </c>
      <c r="M384" s="169"/>
      <c r="N384" s="169">
        <f ca="1">IFERROR(__xludf.DUMMYFUNCTION("IMPORTRANGE(""https://docs.google.com/spreadsheets/d/1SX6NBoVAgQJ6U1MVXOaj8PK2l7WJ3RER9xtqwdhxkhw/edit?usp=sharing"",""ประจวบคีรีขันธ์!M279"")"),0)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IFERROR(__xludf.DUMMYFUNCTION("IMPORTRANGE(""https://docs.google.com/spreadsheets/d/1SX6NBoVAgQJ6U1MVXOaj8PK2l7WJ3RER9xtqwdhxkhw/edit?usp=sharing"",""ประจวบคีรีขันธ์!L280"")"),460140)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IFERROR(__xludf.DUMMYFUNCTION("IMPORTRANGE(""https://docs.google.com/spreadsheets/d/1SX6NBoVAgQJ6U1MVXOaj8PK2l7WJ3RER9xtqwdhxkhw/edit?usp=sharing"",""ประจวบคีรีขันธ์!M280"")"),451125)</f>
        <v>451125</v>
      </c>
      <c r="O385" s="169">
        <f t="shared" ca="1" si="109"/>
        <v>98.040813665406176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IFERROR(__xludf.DUMMYFUNCTION("IMPORTRANGE(""https://docs.google.com/spreadsheets/d/1SX6NBoVAgQJ6U1MVXOaj8PK2l7WJ3RER9xtqwdhxkhw/edit?usp=sharing"",""ประจวบคีรีขันธ์!M281"")"),111000)</f>
        <v>111000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IFERROR(__xludf.DUMMYFUNCTION("IMPORTRANGE(""https://docs.google.com/spreadsheets/d/1SX6NBoVAgQJ6U1MVXOaj8PK2l7WJ3RER9xtqwdhxkhw/edit?usp=sharing"",""ประจวบคีรีขันธ์!M282"")"),312500)</f>
        <v>312500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IFERROR(__xludf.DUMMYFUNCTION("IMPORTRANGE(""https://docs.google.com/spreadsheets/d/1SX6NBoVAgQJ6U1MVXOaj8PK2l7WJ3RER9xtqwdhxkhw/edit?usp=sharing"",""ประจวบคีรีขันธ์!M283"")"),0)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IFERROR(__xludf.DUMMYFUNCTION("IMPORTRANGE(""https://docs.google.com/spreadsheets/d/1SX6NBoVAgQJ6U1MVXOaj8PK2l7WJ3RER9xtqwdhxkhw/edit?usp=sharing"",""ประจวบคีรีขันธ์!M284"")"),27625)</f>
        <v>27625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IFERROR(__xludf.DUMMYFUNCTION("IMPORTRANGE(""https://docs.google.com/spreadsheets/d/1SX6NBoVAgQJ6U1MVXOaj8PK2l7WJ3RER9xtqwdhxkhw/edit?usp=sharing"",""ประจวบคีรีขันธ์!J286"")"),0)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IFERROR(__xludf.DUMMYFUNCTION("IMPORTRANGE(""https://docs.google.com/spreadsheets/d/1SX6NBoVAgQJ6U1MVXOaj8PK2l7WJ3RER9xtqwdhxkhw/edit?usp=sharing"",""ประจวบคีรีขันธ์!J287"")"),1)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IFERROR(__xludf.DUMMYFUNCTION("IMPORTRANGE(""https://docs.google.com/spreadsheets/d/1SX6NBoVAgQJ6U1MVXOaj8PK2l7WJ3RER9xtqwdhxkhw/edit?usp=sharing"",""ประจวบคีรีขันธ์!J288"")"),1)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IFERROR(__xludf.DUMMYFUNCTION("IMPORTRANGE(""https://docs.google.com/spreadsheets/d/1SX6NBoVAgQJ6U1MVXOaj8PK2l7WJ3RER9xtqwdhxkhw/edit?usp=sharing"",""ประจวบคีรีขันธ์!J289"")"),1)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IFERROR(__xludf.DUMMYFUNCTION("IMPORTRANGE(""https://docs.google.com/spreadsheets/d/1SX6NBoVAgQJ6U1MVXOaj8PK2l7WJ3RER9xtqwdhxkhw/edit?usp=sharing"",""ประจวบคีรีขันธ์!I291"")"),50)</f>
        <v>50</v>
      </c>
      <c r="J396" s="198">
        <f ca="1">IFERROR(__xludf.DUMMYFUNCTION("IMPORTRANGE(""https://docs.google.com/spreadsheets/d/1SX6NBoVAgQJ6U1MVXOaj8PK2l7WJ3RER9xtqwdhxkhw/edit?usp=sharing"",""ประจวบคีรีขันธ์!J291"")"),50)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IFERROR(__xludf.DUMMYFUNCTION("IMPORTRANGE(""https://docs.google.com/spreadsheets/d/1SX6NBoVAgQJ6U1MVXOaj8PK2l7WJ3RER9xtqwdhxkhw/edit?usp=sharing"",""ประจวบคีรีขันธ์!I292"")"),500)</f>
        <v>500</v>
      </c>
      <c r="J397" s="198">
        <f ca="1">IFERROR(__xludf.DUMMYFUNCTION("IMPORTRANGE(""https://docs.google.com/spreadsheets/d/1SX6NBoVAgQJ6U1MVXOaj8PK2l7WJ3RER9xtqwdhxkhw/edit?usp=sharing"",""ประจวบคีรีขันธ์!J292"")"),500)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IFERROR(__xludf.DUMMYFUNCTION("IMPORTRANGE(""https://docs.google.com/spreadsheets/d/1SX6NBoVAgQJ6U1MVXOaj8PK2l7WJ3RER9xtqwdhxkhw/edit?usp=sharing"",""ประจวบคีรีขันธ์!I293"")"),50)</f>
        <v>50</v>
      </c>
      <c r="J398" s="198">
        <f ca="1">IFERROR(__xludf.DUMMYFUNCTION("IMPORTRANGE(""https://docs.google.com/spreadsheets/d/1SX6NBoVAgQJ6U1MVXOaj8PK2l7WJ3RER9xtqwdhxkhw/edit?usp=sharing"",""ประจวบคีรีขันธ์!J293"")"),50)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IFERROR(__xludf.DUMMYFUNCTION("IMPORTRANGE(""https://docs.google.com/spreadsheets/d/1SX6NBoVAgQJ6U1MVXOaj8PK2l7WJ3RER9xtqwdhxkhw/edit?usp=sharing"",""ประจวบคีรีขันธ์!J294"")"),0)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IFERROR(__xludf.DUMMYFUNCTION("IMPORTRANGE(""https://docs.google.com/spreadsheets/d/1SX6NBoVAgQJ6U1MVXOaj8PK2l7WJ3RER9xtqwdhxkhw/edit?usp=sharing"",""ประจวบคีรีขันธ์!J295"")"),0)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IFERROR(__xludf.DUMMYFUNCTION("IMPORTRANGE(""https://docs.google.com/spreadsheets/d/1SX6NBoVAgQJ6U1MVXOaj8PK2l7WJ3RER9xtqwdhxkhw/edit?usp=sharing"",""ประจวบคีรีขันธ์!I296"")"),90)</f>
        <v>90</v>
      </c>
      <c r="J401" s="371">
        <f ca="1">IFERROR(__xludf.DUMMYFUNCTION("IMPORTRANGE(""https://docs.google.com/spreadsheets/d/1SX6NBoVAgQJ6U1MVXOaj8PK2l7WJ3RER9xtqwdhxkhw/edit?usp=sharing"",""ประจวบคีรีขันธ์!J296"")"),90)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IFERROR(__xludf.DUMMYFUNCTION("IMPORTRANGE(""https://docs.google.com/spreadsheets/d/1SX6NBoVAgQJ6U1MVXOaj8PK2l7WJ3RER9xtqwdhxkhw/edit?usp=sharing"",""ประจวบคีรีขันธ์!L296"")"),95560)</f>
        <v>95560</v>
      </c>
      <c r="M401" s="373"/>
      <c r="N401" s="373">
        <f ca="1">IFERROR(__xludf.DUMMYFUNCTION("IMPORTRANGE(""https://docs.google.com/spreadsheets/d/1SX6NBoVAgQJ6U1MVXOaj8PK2l7WJ3RER9xtqwdhxkhw/edit?usp=sharing"",""ประจวบคีรีขันธ์!M296"")"),95159)</f>
        <v>95159</v>
      </c>
      <c r="O401" s="373">
        <f ca="1">+IF(L401&gt;0,N401*100/L401,0)</f>
        <v>99.580368354960228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IFERROR(__xludf.DUMMYFUNCTION("IMPORTRANGE(""https://docs.google.com/spreadsheets/d/1SX6NBoVAgQJ6U1MVXOaj8PK2l7WJ3RER9xtqwdhxkhw/edit?usp=sharing"",""ประจวบคีรีขันธ์!I297"")"),30)</f>
        <v>30</v>
      </c>
      <c r="J402" s="371">
        <f ca="1">IFERROR(__xludf.DUMMYFUNCTION("IMPORTRANGE(""https://docs.google.com/spreadsheets/d/1SX6NBoVAgQJ6U1MVXOaj8PK2l7WJ3RER9xtqwdhxkhw/edit?usp=sharing"",""ประจวบคีรีขันธ์!J297"")"),30)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IFERROR(__xludf.DUMMYFUNCTION("IMPORTRANGE(""https://docs.google.com/spreadsheets/d/1SX6NBoVAgQJ6U1MVXOaj8PK2l7WJ3RER9xtqwdhxkhw/edit?usp=sharing"",""ประจวบคีรีขันธ์!L298"")"),0)</f>
        <v>0</v>
      </c>
      <c r="M403" s="164"/>
      <c r="N403" s="169">
        <f ca="1">IFERROR(__xludf.DUMMYFUNCTION("IMPORTRANGE(""https://docs.google.com/spreadsheets/d/1SX6NBoVAgQJ6U1MVXOaj8PK2l7WJ3RER9xtqwdhxkhw/edit?usp=sharing"",""ประจวบคีรีขันธ์!M298"")"),0)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IFERROR(__xludf.DUMMYFUNCTION("IMPORTRANGE(""https://docs.google.com/spreadsheets/d/1SX6NBoVAgQJ6U1MVXOaj8PK2l7WJ3RER9xtqwdhxkhw/edit?usp=sharing"",""ประจวบคีรีขันธ์!L299"")"),95560)</f>
        <v>95560</v>
      </c>
      <c r="M404" s="165"/>
      <c r="N404" s="169">
        <f ca="1">IFERROR(__xludf.DUMMYFUNCTION("IMPORTRANGE(""https://docs.google.com/spreadsheets/d/1SX6NBoVAgQJ6U1MVXOaj8PK2l7WJ3RER9xtqwdhxkhw/edit?usp=sharing"",""ประจวบคีรีขันธ์!M299"")"),95159)</f>
        <v>95159</v>
      </c>
      <c r="O404" s="169">
        <f t="shared" ca="1" si="112"/>
        <v>99.580368354960228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IFERROR(__xludf.DUMMYFUNCTION("IMPORTRANGE(""https://docs.google.com/spreadsheets/d/1SX6NBoVAgQJ6U1MVXOaj8PK2l7WJ3RER9xtqwdhxkhw/edit?usp=sharing"",""ประจวบคีรีขันธ์!L300"")"),0)</f>
        <v>0</v>
      </c>
      <c r="M405" s="169"/>
      <c r="N405" s="169">
        <f ca="1">IFERROR(__xludf.DUMMYFUNCTION("IMPORTRANGE(""https://docs.google.com/spreadsheets/d/1SX6NBoVAgQJ6U1MVXOaj8PK2l7WJ3RER9xtqwdhxkhw/edit?usp=sharing"",""ประจวบคีรีขันธ์!M300"")"),0)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IFERROR(__xludf.DUMMYFUNCTION("IMPORTRANGE(""https://docs.google.com/spreadsheets/d/1SX6NBoVAgQJ6U1MVXOaj8PK2l7WJ3RER9xtqwdhxkhw/edit?usp=sharing"",""ประจวบคีรีขันธ์!L301"")"),95560)</f>
        <v>95560</v>
      </c>
      <c r="M406" s="169"/>
      <c r="N406" s="169">
        <f ca="1">IFERROR(__xludf.DUMMYFUNCTION("IMPORTRANGE(""https://docs.google.com/spreadsheets/d/1SX6NBoVAgQJ6U1MVXOaj8PK2l7WJ3RER9xtqwdhxkhw/edit?usp=sharing"",""ประจวบคีรีขันธ์!M301"")"),95159)</f>
        <v>95159</v>
      </c>
      <c r="O406" s="169">
        <f t="shared" ca="1" si="112"/>
        <v>99.580368354960228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IFERROR(__xludf.DUMMYFUNCTION("IMPORTRANGE(""https://docs.google.com/spreadsheets/d/1SX6NBoVAgQJ6U1MVXOaj8PK2l7WJ3RER9xtqwdhxkhw/edit?usp=sharing"",""ประจวบคีรีขันธ์!M302"")"),61640)</f>
        <v>61640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IFERROR(__xludf.DUMMYFUNCTION("IMPORTRANGE(""https://docs.google.com/spreadsheets/d/1SX6NBoVAgQJ6U1MVXOaj8PK2l7WJ3RER9xtqwdhxkhw/edit?usp=sharing"",""ประจวบคีรีขันธ์!M303"")"),11200)</f>
        <v>11200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IFERROR(__xludf.DUMMYFUNCTION("IMPORTRANGE(""https://docs.google.com/spreadsheets/d/1SX6NBoVAgQJ6U1MVXOaj8PK2l7WJ3RER9xtqwdhxkhw/edit?usp=sharing"",""ประจวบคีรีขันธ์!M304"")"),0)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IFERROR(__xludf.DUMMYFUNCTION("IMPORTRANGE(""https://docs.google.com/spreadsheets/d/1SX6NBoVAgQJ6U1MVXOaj8PK2l7WJ3RER9xtqwdhxkhw/edit?usp=sharing"",""ประจวบคีรีขันธ์!M305"")"),22319)</f>
        <v>22319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IFERROR(__xludf.DUMMYFUNCTION("IMPORTRANGE(""https://docs.google.com/spreadsheets/d/1SX6NBoVAgQJ6U1MVXOaj8PK2l7WJ3RER9xtqwdhxkhw/edit?usp=sharing"",""ประจวบคีรีขันธ์!J307"")"),0)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IFERROR(__xludf.DUMMYFUNCTION("IMPORTRANGE(""https://docs.google.com/spreadsheets/d/1SX6NBoVAgQJ6U1MVXOaj8PK2l7WJ3RER9xtqwdhxkhw/edit?usp=sharing"",""ประจวบคีรีขันธ์!J308"")"),1)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IFERROR(__xludf.DUMMYFUNCTION("IMPORTRANGE(""https://docs.google.com/spreadsheets/d/1SX6NBoVAgQJ6U1MVXOaj8PK2l7WJ3RER9xtqwdhxkhw/edit?usp=sharing"",""ประจวบคีรีขันธ์!J309"")"),1)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IFERROR(__xludf.DUMMYFUNCTION("IMPORTRANGE(""https://docs.google.com/spreadsheets/d/1SX6NBoVAgQJ6U1MVXOaj8PK2l7WJ3RER9xtqwdhxkhw/edit?usp=sharing"",""ประจวบคีรีขันธ์!J310"")"),1)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IFERROR(__xludf.DUMMYFUNCTION("IMPORTRANGE(""https://docs.google.com/spreadsheets/d/1SX6NBoVAgQJ6U1MVXOaj8PK2l7WJ3RER9xtqwdhxkhw/edit?usp=sharing"",""ประจวบคีรีขันธ์!I311"")"),30)</f>
        <v>30</v>
      </c>
      <c r="J416" s="201">
        <f ca="1">IFERROR(__xludf.DUMMYFUNCTION("IMPORTRANGE(""https://docs.google.com/spreadsheets/d/1SX6NBoVAgQJ6U1MVXOaj8PK2l7WJ3RER9xtqwdhxkhw/edit?usp=sharing"",""ประจวบคีรีขันธ์!J311"")"),30)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IFERROR(__xludf.DUMMYFUNCTION("IMPORTRANGE(""https://docs.google.com/spreadsheets/d/1SX6NBoVAgQJ6U1MVXOaj8PK2l7WJ3RER9xtqwdhxkhw/edit?usp=sharing"",""ประจวบคีรีขันธ์!I312"")"),0)</f>
        <v>0</v>
      </c>
      <c r="J417" s="392">
        <f ca="1">IFERROR(__xludf.DUMMYFUNCTION("IMPORTRANGE(""https://docs.google.com/spreadsheets/d/1SX6NBoVAgQJ6U1MVXOaj8PK2l7WJ3RER9xtqwdhxkhw/edit?usp=sharing"",""ประจวบคีรีขันธ์!J312"")"),0)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IFERROR(__xludf.DUMMYFUNCTION("IMPORTRANGE(""https://docs.google.com/spreadsheets/d/1SX6NBoVAgQJ6U1MVXOaj8PK2l7WJ3RER9xtqwdhxkhw/edit?usp=sharing"",""ประจวบคีรีขันธ์!I313"")"),0)</f>
        <v>0</v>
      </c>
      <c r="J418" s="393">
        <f ca="1">IFERROR(__xludf.DUMMYFUNCTION("IMPORTRANGE(""https://docs.google.com/spreadsheets/d/1SX6NBoVAgQJ6U1MVXOaj8PK2l7WJ3RER9xtqwdhxkhw/edit?usp=sharing"",""ประจวบคีรีขันธ์!J313"")"),0)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IFERROR(__xludf.DUMMYFUNCTION("IMPORTRANGE(""https://docs.google.com/spreadsheets/d/1SX6NBoVAgQJ6U1MVXOaj8PK2l7WJ3RER9xtqwdhxkhw/edit?usp=sharing"",""ประจวบคีรีขันธ์!I314"")"),0)</f>
        <v>0</v>
      </c>
      <c r="J419" s="394">
        <f ca="1">IFERROR(__xludf.DUMMYFUNCTION("IMPORTRANGE(""https://docs.google.com/spreadsheets/d/1SX6NBoVAgQJ6U1MVXOaj8PK2l7WJ3RER9xtqwdhxkhw/edit?usp=sharing"",""ประจวบคีรีขันธ์!J314"")"),0)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IFERROR(__xludf.DUMMYFUNCTION("IMPORTRANGE(""https://docs.google.com/spreadsheets/d/1SX6NBoVAgQJ6U1MVXOaj8PK2l7WJ3RER9xtqwdhxkhw/edit?usp=sharing"",""ประจวบคีรีขันธ์!I315"")"),0)</f>
        <v>0</v>
      </c>
      <c r="J420" s="394">
        <f ca="1">IFERROR(__xludf.DUMMYFUNCTION("IMPORTRANGE(""https://docs.google.com/spreadsheets/d/1SX6NBoVAgQJ6U1MVXOaj8PK2l7WJ3RER9xtqwdhxkhw/edit?usp=sharing"",""ประจวบคีรีขันธ์!J315"")"),0)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IFERROR(__xludf.DUMMYFUNCTION("IMPORTRANGE(""https://docs.google.com/spreadsheets/d/1SX6NBoVAgQJ6U1MVXOaj8PK2l7WJ3RER9xtqwdhxkhw/edit?usp=sharing"",""ประจวบคีรีขันธ์!I316"")"),16)</f>
        <v>16</v>
      </c>
      <c r="J421" s="392">
        <f ca="1">IFERROR(__xludf.DUMMYFUNCTION("IMPORTRANGE(""https://docs.google.com/spreadsheets/d/1SX6NBoVAgQJ6U1MVXOaj8PK2l7WJ3RER9xtqwdhxkhw/edit?usp=sharing"",""ประจวบคีรีขันธ์!J316"")"),16)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IFERROR(__xludf.DUMMYFUNCTION("IMPORTRANGE(""https://docs.google.com/spreadsheets/d/1SX6NBoVAgQJ6U1MVXOaj8PK2l7WJ3RER9xtqwdhxkhw/edit?usp=sharing"",""ประจวบคีรีขันธ์!I317"")"),48)</f>
        <v>48</v>
      </c>
      <c r="J422" s="393">
        <f ca="1">IFERROR(__xludf.DUMMYFUNCTION("IMPORTRANGE(""https://docs.google.com/spreadsheets/d/1SX6NBoVAgQJ6U1MVXOaj8PK2l7WJ3RER9xtqwdhxkhw/edit?usp=sharing"",""ประจวบคีรีขันธ์!J317"")"),48)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IFERROR(__xludf.DUMMYFUNCTION("IMPORTRANGE(""https://docs.google.com/spreadsheets/d/1SX6NBoVAgQJ6U1MVXOaj8PK2l7WJ3RER9xtqwdhxkhw/edit?usp=sharing"",""ประจวบคีรีขันธ์!I318"")"),16)</f>
        <v>16</v>
      </c>
      <c r="J423" s="394">
        <f ca="1">IFERROR(__xludf.DUMMYFUNCTION("IMPORTRANGE(""https://docs.google.com/spreadsheets/d/1SX6NBoVAgQJ6U1MVXOaj8PK2l7WJ3RER9xtqwdhxkhw/edit?usp=sharing"",""ประจวบคีรีขันธ์!J318"")"),16)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IFERROR(__xludf.DUMMYFUNCTION("IMPORTRANGE(""https://docs.google.com/spreadsheets/d/1SX6NBoVAgQJ6U1MVXOaj8PK2l7WJ3RER9xtqwdhxkhw/edit?usp=sharing"",""ประจวบคีรีขันธ์!I319"")"),16)</f>
        <v>16</v>
      </c>
      <c r="J424" s="394">
        <f ca="1">IFERROR(__xludf.DUMMYFUNCTION("IMPORTRANGE(""https://docs.google.com/spreadsheets/d/1SX6NBoVAgQJ6U1MVXOaj8PK2l7WJ3RER9xtqwdhxkhw/edit?usp=sharing"",""ประจวบคีรีขันธ์!J319"")"),16)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IFERROR(__xludf.DUMMYFUNCTION("IMPORTRANGE(""https://docs.google.com/spreadsheets/d/1SX6NBoVAgQJ6U1MVXOaj8PK2l7WJ3RER9xtqwdhxkhw/edit?usp=sharing"",""ประจวบคีรีขันธ์!I320"")"),16)</f>
        <v>16</v>
      </c>
      <c r="J425" s="394">
        <f ca="1">IFERROR(__xludf.DUMMYFUNCTION("IMPORTRANGE(""https://docs.google.com/spreadsheets/d/1SX6NBoVAgQJ6U1MVXOaj8PK2l7WJ3RER9xtqwdhxkhw/edit?usp=sharing"",""ประจวบคีรีขันธ์!J320"")"),16)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IFERROR(__xludf.DUMMYFUNCTION("IMPORTRANGE(""https://docs.google.com/spreadsheets/d/1SX6NBoVAgQJ6U1MVXOaj8PK2l7WJ3RER9xtqwdhxkhw/edit?usp=sharing"",""ประจวบคีรีขันธ์!I321"")"),14)</f>
        <v>14</v>
      </c>
      <c r="J426" s="392">
        <f ca="1">IFERROR(__xludf.DUMMYFUNCTION("IMPORTRANGE(""https://docs.google.com/spreadsheets/d/1SX6NBoVAgQJ6U1MVXOaj8PK2l7WJ3RER9xtqwdhxkhw/edit?usp=sharing"",""ประจวบคีรีขันธ์!J321"")"),14)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IFERROR(__xludf.DUMMYFUNCTION("IMPORTRANGE(""https://docs.google.com/spreadsheets/d/1SX6NBoVAgQJ6U1MVXOaj8PK2l7WJ3RER9xtqwdhxkhw/edit?usp=sharing"",""ประจวบคีรีขันธ์!I322"")"),42)</f>
        <v>42</v>
      </c>
      <c r="J427" s="393">
        <f ca="1">IFERROR(__xludf.DUMMYFUNCTION("IMPORTRANGE(""https://docs.google.com/spreadsheets/d/1SX6NBoVAgQJ6U1MVXOaj8PK2l7WJ3RER9xtqwdhxkhw/edit?usp=sharing"",""ประจวบคีรีขันธ์!J322"")"),42)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IFERROR(__xludf.DUMMYFUNCTION("IMPORTRANGE(""https://docs.google.com/spreadsheets/d/1SX6NBoVAgQJ6U1MVXOaj8PK2l7WJ3RER9xtqwdhxkhw/edit?usp=sharing"",""ประจวบคีรีขันธ์!I323"")"),14)</f>
        <v>14</v>
      </c>
      <c r="J428" s="394">
        <f ca="1">IFERROR(__xludf.DUMMYFUNCTION("IMPORTRANGE(""https://docs.google.com/spreadsheets/d/1SX6NBoVAgQJ6U1MVXOaj8PK2l7WJ3RER9xtqwdhxkhw/edit?usp=sharing"",""ประจวบคีรีขันธ์!J323"")"),14)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IFERROR(__xludf.DUMMYFUNCTION("IMPORTRANGE(""https://docs.google.com/spreadsheets/d/1SX6NBoVAgQJ6U1MVXOaj8PK2l7WJ3RER9xtqwdhxkhw/edit?usp=sharing"",""ประจวบคีรีขันธ์!I324"")"),14)</f>
        <v>14</v>
      </c>
      <c r="J429" s="394">
        <f ca="1">IFERROR(__xludf.DUMMYFUNCTION("IMPORTRANGE(""https://docs.google.com/spreadsheets/d/1SX6NBoVAgQJ6U1MVXOaj8PK2l7WJ3RER9xtqwdhxkhw/edit?usp=sharing"",""ประจวบคีรีขันธ์!J324"")"),14)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IFERROR(__xludf.DUMMYFUNCTION("IMPORTRANGE(""https://docs.google.com/spreadsheets/d/1SX6NBoVAgQJ6U1MVXOaj8PK2l7WJ3RER9xtqwdhxkhw/edit?usp=sharing"",""ประจวบคีรีขันธ์!I325"")"),16)</f>
        <v>16</v>
      </c>
      <c r="J430" s="392">
        <f ca="1">IFERROR(__xludf.DUMMYFUNCTION("IMPORTRANGE(""https://docs.google.com/spreadsheets/d/1SX6NBoVAgQJ6U1MVXOaj8PK2l7WJ3RER9xtqwdhxkhw/edit?usp=sharing"",""ประจวบคีรีขันธ์!J325"")"),16)</f>
        <v>16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IFERROR(__xludf.DUMMYFUNCTION("IMPORTRANGE(""https://docs.google.com/spreadsheets/d/1SX6NBoVAgQJ6U1MVXOaj8PK2l7WJ3RER9xtqwdhxkhw/edit?usp=sharing"",""ประจวบคีรีขันธ์!I326"")"),0)</f>
        <v>0</v>
      </c>
      <c r="J431" s="394">
        <f ca="1">IFERROR(__xludf.DUMMYFUNCTION("IMPORTRANGE(""https://docs.google.com/spreadsheets/d/1SX6NBoVAgQJ6U1MVXOaj8PK2l7WJ3RER9xtqwdhxkhw/edit?usp=sharing"",""ประจวบคีรีขันธ์!J326"")"),0)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IFERROR(__xludf.DUMMYFUNCTION("IMPORTRANGE(""https://docs.google.com/spreadsheets/d/1SX6NBoVAgQJ6U1MVXOaj8PK2l7WJ3RER9xtqwdhxkhw/edit?usp=sharing"",""ประจวบคีรีขันธ์!I327"")"),16)</f>
        <v>16</v>
      </c>
      <c r="J432" s="394">
        <f ca="1">IFERROR(__xludf.DUMMYFUNCTION("IMPORTRANGE(""https://docs.google.com/spreadsheets/d/1SX6NBoVAgQJ6U1MVXOaj8PK2l7WJ3RER9xtqwdhxkhw/edit?usp=sharing"",""ประจวบคีรีขันธ์!J327"")"),16)</f>
        <v>16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IFERROR(__xludf.DUMMYFUNCTION("IMPORTRANGE(""https://docs.google.com/spreadsheets/d/1SX6NBoVAgQJ6U1MVXOaj8PK2l7WJ3RER9xtqwdhxkhw/edit?usp=sharing"",""ประจวบคีรีขันธ์!J328"")"),0)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IFERROR(__xludf.DUMMYFUNCTION("IMPORTRANGE(""https://docs.google.com/spreadsheets/d/1SX6NBoVAgQJ6U1MVXOaj8PK2l7WJ3RER9xtqwdhxkhw/edit?usp=sharing"",""ประจวบคีรีขันธ์!J329"")"),0)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IFERROR(__xludf.DUMMYFUNCTION("IMPORTRANGE(""https://docs.google.com/spreadsheets/d/1SX6NBoVAgQJ6U1MVXOaj8PK2l7WJ3RER9xtqwdhxkhw/edit?usp=sharing"",""ประจวบคีรีขันธ์!I330"")"),10)</f>
        <v>10</v>
      </c>
      <c r="J435" s="410">
        <f ca="1">IFERROR(__xludf.DUMMYFUNCTION("IMPORTRANGE(""https://docs.google.com/spreadsheets/d/1SX6NBoVAgQJ6U1MVXOaj8PK2l7WJ3RER9xtqwdhxkhw/edit?usp=sharing"",""ประจวบคีรีขันธ์!J330"")"),10)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IFERROR(__xludf.DUMMYFUNCTION("IMPORTRANGE(""https://docs.google.com/spreadsheets/d/1SX6NBoVAgQJ6U1MVXOaj8PK2l7WJ3RER9xtqwdhxkhw/edit?usp=sharing"",""ประจวบคีรีขันธ์!L330"")"),76000)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IFERROR(__xludf.DUMMYFUNCTION("IMPORTRANGE(""https://docs.google.com/spreadsheets/d/1SX6NBoVAgQJ6U1MVXOaj8PK2l7WJ3RER9xtqwdhxkhw/edit?usp=sharing"",""ประจวบคีรีขันธ์!M330"")"),71985)</f>
        <v>71985</v>
      </c>
      <c r="O435" s="412">
        <f t="shared" ref="O435:O439" ca="1" si="114">+IF(L435&gt;0,N435*100/L435,0)</f>
        <v>94.71710526315789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IFERROR(__xludf.DUMMYFUNCTION("IMPORTRANGE(""https://docs.google.com/spreadsheets/d/1SX6NBoVAgQJ6U1MVXOaj8PK2l7WJ3RER9xtqwdhxkhw/edit?usp=sharing"",""ประจวบคีรีขันธ์!L331"")"),0)</f>
        <v>0</v>
      </c>
      <c r="M436" s="164"/>
      <c r="N436" s="169">
        <f ca="1">IFERROR(__xludf.DUMMYFUNCTION("IMPORTRANGE(""https://docs.google.com/spreadsheets/d/1SX6NBoVAgQJ6U1MVXOaj8PK2l7WJ3RER9xtqwdhxkhw/edit?usp=sharing"",""ประจวบคีรีขันธ์!M331"")"),0)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IFERROR(__xludf.DUMMYFUNCTION("IMPORTRANGE(""https://docs.google.com/spreadsheets/d/1SX6NBoVAgQJ6U1MVXOaj8PK2l7WJ3RER9xtqwdhxkhw/edit?usp=sharing"",""ประจวบคีรีขันธ์!L332"")"),76000)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IFERROR(__xludf.DUMMYFUNCTION("IMPORTRANGE(""https://docs.google.com/spreadsheets/d/1SX6NBoVAgQJ6U1MVXOaj8PK2l7WJ3RER9xtqwdhxkhw/edit?usp=sharing"",""ประจวบคีรีขันธ์!M332"")"),71985)</f>
        <v>71985</v>
      </c>
      <c r="O437" s="169">
        <f t="shared" ca="1" si="114"/>
        <v>94.71710526315789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IFERROR(__xludf.DUMMYFUNCTION("IMPORTRANGE(""https://docs.google.com/spreadsheets/d/1SX6NBoVAgQJ6U1MVXOaj8PK2l7WJ3RER9xtqwdhxkhw/edit?usp=sharing"",""ประจวบคีรีขันธ์!L333"")"),0)</f>
        <v>0</v>
      </c>
      <c r="M438" s="169"/>
      <c r="N438" s="169">
        <f ca="1">IFERROR(__xludf.DUMMYFUNCTION("IMPORTRANGE(""https://docs.google.com/spreadsheets/d/1SX6NBoVAgQJ6U1MVXOaj8PK2l7WJ3RER9xtqwdhxkhw/edit?usp=sharing"",""ประจวบคีรีขันธ์!M333"")"),0)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IFERROR(__xludf.DUMMYFUNCTION("IMPORTRANGE(""https://docs.google.com/spreadsheets/d/1SX6NBoVAgQJ6U1MVXOaj8PK2l7WJ3RER9xtqwdhxkhw/edit?usp=sharing"",""ประจวบคีรีขันธ์!L334"")"),76000)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IFERROR(__xludf.DUMMYFUNCTION("IMPORTRANGE(""https://docs.google.com/spreadsheets/d/1SX6NBoVAgQJ6U1MVXOaj8PK2l7WJ3RER9xtqwdhxkhw/edit?usp=sharing"",""ประจวบคีรีขันธ์!M334"")"),71985)</f>
        <v>71985</v>
      </c>
      <c r="O439" s="169">
        <f t="shared" ca="1" si="114"/>
        <v>94.71710526315789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IFERROR(__xludf.DUMMYFUNCTION("IMPORTRANGE(""https://docs.google.com/spreadsheets/d/1SX6NBoVAgQJ6U1MVXOaj8PK2l7WJ3RER9xtqwdhxkhw/edit?usp=sharing"",""ประจวบคีรีขันธ์!M335"")"),20200)</f>
        <v>20200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IFERROR(__xludf.DUMMYFUNCTION("IMPORTRANGE(""https://docs.google.com/spreadsheets/d/1SX6NBoVAgQJ6U1MVXOaj8PK2l7WJ3RER9xtqwdhxkhw/edit?usp=sharing"",""ประจวบคีรีขันธ์!M336"")"),0)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IFERROR(__xludf.DUMMYFUNCTION("IMPORTRANGE(""https://docs.google.com/spreadsheets/d/1SX6NBoVAgQJ6U1MVXOaj8PK2l7WJ3RER9xtqwdhxkhw/edit?usp=sharing"",""ประจวบคีรีขันธ์!M337"")"),0)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IFERROR(__xludf.DUMMYFUNCTION("IMPORTRANGE(""https://docs.google.com/spreadsheets/d/1SX6NBoVAgQJ6U1MVXOaj8PK2l7WJ3RER9xtqwdhxkhw/edit?usp=sharing"",""ประจวบคีรีขันธ์!M338"")"),51785)</f>
        <v>51785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IFERROR(__xludf.DUMMYFUNCTION("IMPORTRANGE(""https://docs.google.com/spreadsheets/d/1SX6NBoVAgQJ6U1MVXOaj8PK2l7WJ3RER9xtqwdhxkhw/edit?usp=sharing"",""ประจวบคีรีขันธ์!J340"")"),0)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IFERROR(__xludf.DUMMYFUNCTION("IMPORTRANGE(""https://docs.google.com/spreadsheets/d/1SX6NBoVAgQJ6U1MVXOaj8PK2l7WJ3RER9xtqwdhxkhw/edit?usp=sharing"",""ประจวบคีรีขันธ์!J341"")"),1)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IFERROR(__xludf.DUMMYFUNCTION("IMPORTRANGE(""https://docs.google.com/spreadsheets/d/1SX6NBoVAgQJ6U1MVXOaj8PK2l7WJ3RER9xtqwdhxkhw/edit?usp=sharing"",""ประจวบคีรีขันธ์!J342"")"),1)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IFERROR(__xludf.DUMMYFUNCTION("IMPORTRANGE(""https://docs.google.com/spreadsheets/d/1SX6NBoVAgQJ6U1MVXOaj8PK2l7WJ3RER9xtqwdhxkhw/edit?usp=sharing"",""ประจวบคีรีขันธ์!J343"")"),1)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IFERROR(__xludf.DUMMYFUNCTION("IMPORTRANGE(""https://docs.google.com/spreadsheets/d/1SX6NBoVAgQJ6U1MVXOaj8PK2l7WJ3RER9xtqwdhxkhw/edit?usp=sharing"",""ประจวบคีรีขันธ์!I344"")"),10)</f>
        <v>10</v>
      </c>
      <c r="J449" s="201">
        <f ca="1">IFERROR(__xludf.DUMMYFUNCTION("IMPORTRANGE(""https://docs.google.com/spreadsheets/d/1SX6NBoVAgQJ6U1MVXOaj8PK2l7WJ3RER9xtqwdhxkhw/edit?usp=sharing"",""ประจวบคีรีขันธ์!J344"")"),10)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IFERROR(__xludf.DUMMYFUNCTION("IMPORTRANGE(""https://docs.google.com/spreadsheets/d/1SX6NBoVAgQJ6U1MVXOaj8PK2l7WJ3RER9xtqwdhxkhw/edit?usp=sharing"",""ประจวบคีรีขันธ์!I345"")"),10)</f>
        <v>10</v>
      </c>
      <c r="J450" s="189">
        <f ca="1">IFERROR(__xludf.DUMMYFUNCTION("IMPORTRANGE(""https://docs.google.com/spreadsheets/d/1SX6NBoVAgQJ6U1MVXOaj8PK2l7WJ3RER9xtqwdhxkhw/edit?usp=sharing"",""ประจวบคีรีขันธ์!J345"")"),10)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IFERROR(__xludf.DUMMYFUNCTION("IMPORTRANGE(""https://docs.google.com/spreadsheets/d/1SX6NBoVAgQJ6U1MVXOaj8PK2l7WJ3RER9xtqwdhxkhw/edit?usp=sharing"",""ประจวบคีรีขันธ์!I346"")"),0)</f>
        <v>0</v>
      </c>
      <c r="J451" s="188">
        <f ca="1">IFERROR(__xludf.DUMMYFUNCTION("IMPORTRANGE(""https://docs.google.com/spreadsheets/d/1SX6NBoVAgQJ6U1MVXOaj8PK2l7WJ3RER9xtqwdhxkhw/edit?usp=sharing"",""ประจวบคีรีขันธ์!J346"")"),0)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IFERROR(__xludf.DUMMYFUNCTION("IMPORTRANGE(""https://docs.google.com/spreadsheets/d/1SX6NBoVAgQJ6U1MVXOaj8PK2l7WJ3RER9xtqwdhxkhw/edit?usp=sharing"",""ประจวบคีรีขันธ์!I347"")"),0)</f>
        <v>0</v>
      </c>
      <c r="J452" s="188">
        <f ca="1">IFERROR(__xludf.DUMMYFUNCTION("IMPORTRANGE(""https://docs.google.com/spreadsheets/d/1SX6NBoVAgQJ6U1MVXOaj8PK2l7WJ3RER9xtqwdhxkhw/edit?usp=sharing"",""ประจวบคีรีขันธ์!J347"")"),0)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IFERROR(__xludf.DUMMYFUNCTION("IMPORTRANGE(""https://docs.google.com/spreadsheets/d/1SX6NBoVAgQJ6U1MVXOaj8PK2l7WJ3RER9xtqwdhxkhw/edit?usp=sharing"",""ประจวบคีรีขันธ์!J348"")"),0)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IFERROR(__xludf.DUMMYFUNCTION("IMPORTRANGE(""https://docs.google.com/spreadsheets/d/1SX6NBoVAgQJ6U1MVXOaj8PK2l7WJ3RER9xtqwdhxkhw/edit?usp=sharing"",""ประจวบคีรีขันธ์!J349"")"),0)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IFERROR(__xludf.DUMMYFUNCTION("IMPORTRANGE(""https://docs.google.com/spreadsheets/d/1SX6NBoVAgQJ6U1MVXOaj8PK2l7WJ3RER9xtqwdhxkhw/edit?usp=sharing"",""ประจวบคีรีขันธ์!I350"")"),20755)</f>
        <v>20755</v>
      </c>
      <c r="J455" s="371">
        <f ca="1">IFERROR(__xludf.DUMMYFUNCTION("IMPORTRANGE(""https://docs.google.com/spreadsheets/d/1SX6NBoVAgQJ6U1MVXOaj8PK2l7WJ3RER9xtqwdhxkhw/edit?usp=sharing"",""ประจวบคีรีขันธ์!J350"")"),0)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IFERROR(__xludf.DUMMYFUNCTION("IMPORTRANGE(""https://docs.google.com/spreadsheets/d/1SX6NBoVAgQJ6U1MVXOaj8PK2l7WJ3RER9xtqwdhxkhw/edit?usp=sharing"",""ประจวบคีรีขันธ์!L350"")"),155069)</f>
        <v>155069</v>
      </c>
      <c r="M455" s="373"/>
      <c r="N455" s="373">
        <f ca="1">IFERROR(__xludf.DUMMYFUNCTION("IMPORTRANGE(""https://docs.google.com/spreadsheets/d/1SX6NBoVAgQJ6U1MVXOaj8PK2l7WJ3RER9xtqwdhxkhw/edit?usp=sharing"",""ประจวบคีรีขันธ์!M350"")"),21459)</f>
        <v>21459</v>
      </c>
      <c r="O455" s="373">
        <f t="shared" ref="O455:O459" ca="1" si="116">+IF(L455&gt;0,N455*100/L455,0)</f>
        <v>13.838355828695613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IFERROR(__xludf.DUMMYFUNCTION("IMPORTRANGE(""https://docs.google.com/spreadsheets/d/1SX6NBoVAgQJ6U1MVXOaj8PK2l7WJ3RER9xtqwdhxkhw/edit?usp=sharing"",""ประจวบคีรีขันธ์!L351"")"),0)</f>
        <v>0</v>
      </c>
      <c r="M456" s="164"/>
      <c r="N456" s="169">
        <f ca="1">IFERROR(__xludf.DUMMYFUNCTION("IMPORTRANGE(""https://docs.google.com/spreadsheets/d/1SX6NBoVAgQJ6U1MVXOaj8PK2l7WJ3RER9xtqwdhxkhw/edit?usp=sharing"",""ประจวบคีรีขันธ์!M351"")"),0)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IFERROR(__xludf.DUMMYFUNCTION("IMPORTRANGE(""https://docs.google.com/spreadsheets/d/1SX6NBoVAgQJ6U1MVXOaj8PK2l7WJ3RER9xtqwdhxkhw/edit?usp=sharing"",""ประจวบคีรีขันธ์!L352"")"),155069)</f>
        <v>155069</v>
      </c>
      <c r="M457" s="165"/>
      <c r="N457" s="169">
        <f ca="1">IFERROR(__xludf.DUMMYFUNCTION("IMPORTRANGE(""https://docs.google.com/spreadsheets/d/1SX6NBoVAgQJ6U1MVXOaj8PK2l7WJ3RER9xtqwdhxkhw/edit?usp=sharing"",""ประจวบคีรีขันธ์!M352"")"),21459)</f>
        <v>21459</v>
      </c>
      <c r="O457" s="169">
        <f t="shared" ca="1" si="116"/>
        <v>13.838355828695613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IFERROR(__xludf.DUMMYFUNCTION("IMPORTRANGE(""https://docs.google.com/spreadsheets/d/1SX6NBoVAgQJ6U1MVXOaj8PK2l7WJ3RER9xtqwdhxkhw/edit?usp=sharing"",""ประจวบคีรีขันธ์!L353"")"),0)</f>
        <v>0</v>
      </c>
      <c r="M458" s="169"/>
      <c r="N458" s="169">
        <f ca="1">IFERROR(__xludf.DUMMYFUNCTION("IMPORTRANGE(""https://docs.google.com/spreadsheets/d/1SX6NBoVAgQJ6U1MVXOaj8PK2l7WJ3RER9xtqwdhxkhw/edit?usp=sharing"",""ประจวบคีรีขันธ์!M353"")"),0)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IFERROR(__xludf.DUMMYFUNCTION("IMPORTRANGE(""https://docs.google.com/spreadsheets/d/1SX6NBoVAgQJ6U1MVXOaj8PK2l7WJ3RER9xtqwdhxkhw/edit?usp=sharing"",""ประจวบคีรีขันธ์!L354"")"),155069)</f>
        <v>155069</v>
      </c>
      <c r="M459" s="169"/>
      <c r="N459" s="169">
        <f ca="1">IFERROR(__xludf.DUMMYFUNCTION("IMPORTRANGE(""https://docs.google.com/spreadsheets/d/1SX6NBoVAgQJ6U1MVXOaj8PK2l7WJ3RER9xtqwdhxkhw/edit?usp=sharing"",""ประจวบคีรีขันธ์!M354"")"),21459)</f>
        <v>21459</v>
      </c>
      <c r="O459" s="169">
        <f t="shared" ca="1" si="116"/>
        <v>13.838355828695613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IFERROR(__xludf.DUMMYFUNCTION("IMPORTRANGE(""https://docs.google.com/spreadsheets/d/1SX6NBoVAgQJ6U1MVXOaj8PK2l7WJ3RER9xtqwdhxkhw/edit?usp=sharing"",""ประจวบคีรีขันธ์!M355"")"),0)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IFERROR(__xludf.DUMMYFUNCTION("IMPORTRANGE(""https://docs.google.com/spreadsheets/d/1SX6NBoVAgQJ6U1MVXOaj8PK2l7WJ3RER9xtqwdhxkhw/edit?usp=sharing"",""ประจวบคีรีขันธ์!M356"")"),0)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IFERROR(__xludf.DUMMYFUNCTION("IMPORTRANGE(""https://docs.google.com/spreadsheets/d/1SX6NBoVAgQJ6U1MVXOaj8PK2l7WJ3RER9xtqwdhxkhw/edit?usp=sharing"",""ประจวบคีรีขันธ์!M357"")"),0)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IFERROR(__xludf.DUMMYFUNCTION("IMPORTRANGE(""https://docs.google.com/spreadsheets/d/1SX6NBoVAgQJ6U1MVXOaj8PK2l7WJ3RER9xtqwdhxkhw/edit?usp=sharing"",""ประจวบคีรีขันธ์!M358"")"),21459)</f>
        <v>21459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IFERROR(__xludf.DUMMYFUNCTION("IMPORTRANGE(""https://docs.google.com/spreadsheets/d/1SX6NBoVAgQJ6U1MVXOaj8PK2l7WJ3RER9xtqwdhxkhw/edit?usp=sharing"",""ประจวบคีรีขันธ์!I359"")"),20755)</f>
        <v>20755</v>
      </c>
      <c r="J464" s="267">
        <f ca="1">IFERROR(__xludf.DUMMYFUNCTION("IMPORTRANGE(""https://docs.google.com/spreadsheets/d/1SX6NBoVAgQJ6U1MVXOaj8PK2l7WJ3RER9xtqwdhxkhw/edit?usp=sharing"",""ประจวบคีรีขันธ์!J359"")"),0)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IFERROR(__xludf.DUMMYFUNCTION("IMPORTRANGE(""https://docs.google.com/spreadsheets/d/1SX6NBoVAgQJ6U1MVXOaj8PK2l7WJ3RER9xtqwdhxkhw/edit?usp=sharing"",""ประจวบคีรีขันธ์!I360"")"),20755)</f>
        <v>20755</v>
      </c>
      <c r="J465" s="420">
        <f ca="1">IFERROR(__xludf.DUMMYFUNCTION("IMPORTRANGE(""https://docs.google.com/spreadsheets/d/1SX6NBoVAgQJ6U1MVXOaj8PK2l7WJ3RER9xtqwdhxkhw/edit?usp=sharing"",""ประจวบคีรีขันธ์!J360"")"),20755)</f>
        <v>20755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IFERROR(__xludf.DUMMYFUNCTION("IMPORTRANGE(""https://docs.google.com/spreadsheets/d/1SX6NBoVAgQJ6U1MVXOaj8PK2l7WJ3RER9xtqwdhxkhw/edit?usp=sharing"",""ประจวบคีรีขันธ์!I361"")"),2020)</f>
        <v>2020</v>
      </c>
      <c r="J466" s="420">
        <f ca="1">IFERROR(__xludf.DUMMYFUNCTION("IMPORTRANGE(""https://docs.google.com/spreadsheets/d/1SX6NBoVAgQJ6U1MVXOaj8PK2l7WJ3RER9xtqwdhxkhw/edit?usp=sharing"",""ประจวบคีรีขันธ์!J361"")"),2020)</f>
        <v>2020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IFERROR(__xludf.DUMMYFUNCTION("IMPORTRANGE(""https://docs.google.com/spreadsheets/d/1SX6NBoVAgQJ6U1MVXOaj8PK2l7WJ3RER9xtqwdhxkhw/edit?usp=sharing"",""ประจวบคีรีขันธ์!I362"")"),0)</f>
        <v>0</v>
      </c>
      <c r="J467" s="189">
        <f ca="1">IFERROR(__xludf.DUMMYFUNCTION("IMPORTRANGE(""https://docs.google.com/spreadsheets/d/1SX6NBoVAgQJ6U1MVXOaj8PK2l7WJ3RER9xtqwdhxkhw/edit?usp=sharing"",""ประจวบคีรีขันธ์!J362"")"),14932)</f>
        <v>14932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IFERROR(__xludf.DUMMYFUNCTION("IMPORTRANGE(""https://docs.google.com/spreadsheets/d/1SX6NBoVAgQJ6U1MVXOaj8PK2l7WJ3RER9xtqwdhxkhw/edit?usp=sharing"",""ประจวบคีรีขันธ์!I363"")"),0)</f>
        <v>0</v>
      </c>
      <c r="J468" s="189">
        <f ca="1">IFERROR(__xludf.DUMMYFUNCTION("IMPORTRANGE(""https://docs.google.com/spreadsheets/d/1SX6NBoVAgQJ6U1MVXOaj8PK2l7WJ3RER9xtqwdhxkhw/edit?usp=sharing"",""ประจวบคีรีขันธ์!J363"")"),1508)</f>
        <v>1508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IFERROR(__xludf.DUMMYFUNCTION("IMPORTRANGE(""https://docs.google.com/spreadsheets/d/1SX6NBoVAgQJ6U1MVXOaj8PK2l7WJ3RER9xtqwdhxkhw/edit?usp=sharing"",""ประจวบคีรีขันธ์!I364"")"),0)</f>
        <v>0</v>
      </c>
      <c r="J469" s="189">
        <f ca="1">IFERROR(__xludf.DUMMYFUNCTION("IMPORTRANGE(""https://docs.google.com/spreadsheets/d/1SX6NBoVAgQJ6U1MVXOaj8PK2l7WJ3RER9xtqwdhxkhw/edit?usp=sharing"",""ประจวบคีรีขันธ์!J364"")"),5461)</f>
        <v>5461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IFERROR(__xludf.DUMMYFUNCTION("IMPORTRANGE(""https://docs.google.com/spreadsheets/d/1SX6NBoVAgQJ6U1MVXOaj8PK2l7WJ3RER9xtqwdhxkhw/edit?usp=sharing"",""ประจวบคีรีขันธ์!I365"")"),0)</f>
        <v>0</v>
      </c>
      <c r="J470" s="189">
        <f ca="1">IFERROR(__xludf.DUMMYFUNCTION("IMPORTRANGE(""https://docs.google.com/spreadsheets/d/1SX6NBoVAgQJ6U1MVXOaj8PK2l7WJ3RER9xtqwdhxkhw/edit?usp=sharing"",""ประจวบคีรีขันธ์!J365"")"),466)</f>
        <v>466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IFERROR(__xludf.DUMMYFUNCTION("IMPORTRANGE(""https://docs.google.com/spreadsheets/d/1SX6NBoVAgQJ6U1MVXOaj8PK2l7WJ3RER9xtqwdhxkhw/edit?usp=sharing"",""ประจวบคีรีขันธ์!I366"")"),0)</f>
        <v>0</v>
      </c>
      <c r="J471" s="189">
        <f ca="1">IFERROR(__xludf.DUMMYFUNCTION("IMPORTRANGE(""https://docs.google.com/spreadsheets/d/1SX6NBoVAgQJ6U1MVXOaj8PK2l7WJ3RER9xtqwdhxkhw/edit?usp=sharing"",""ประจวบคีรีขันธ์!J366"")"),362)</f>
        <v>362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IFERROR(__xludf.DUMMYFUNCTION("IMPORTRANGE(""https://docs.google.com/spreadsheets/d/1SX6NBoVAgQJ6U1MVXOaj8PK2l7WJ3RER9xtqwdhxkhw/edit?usp=sharing"",""ประจวบคีรีขันธ์!I367"")"),0)</f>
        <v>0</v>
      </c>
      <c r="J472" s="189">
        <f ca="1">IFERROR(__xludf.DUMMYFUNCTION("IMPORTRANGE(""https://docs.google.com/spreadsheets/d/1SX6NBoVAgQJ6U1MVXOaj8PK2l7WJ3RER9xtqwdhxkhw/edit?usp=sharing"",""ประจวบคีรีขันธ์!J367"")"),46)</f>
        <v>46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IFERROR(__xludf.DUMMYFUNCTION("IMPORTRANGE(""https://docs.google.com/spreadsheets/d/1SX6NBoVAgQJ6U1MVXOaj8PK2l7WJ3RER9xtqwdhxkhw/edit?usp=sharing"",""ประจวบคีรีขันธ์!I368"")"),20755)</f>
        <v>20755</v>
      </c>
      <c r="J473" s="420">
        <f ca="1">IFERROR(__xludf.DUMMYFUNCTION("IMPORTRANGE(""https://docs.google.com/spreadsheets/d/1SX6NBoVAgQJ6U1MVXOaj8PK2l7WJ3RER9xtqwdhxkhw/edit?usp=sharing"",""ประจวบคีรีขันธ์!J368"")"),0)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IFERROR(__xludf.DUMMYFUNCTION("IMPORTRANGE(""https://docs.google.com/spreadsheets/d/1SX6NBoVAgQJ6U1MVXOaj8PK2l7WJ3RER9xtqwdhxkhw/edit?usp=sharing"",""ประจวบคีรีขันธ์!I369"")"),2020)</f>
        <v>2020</v>
      </c>
      <c r="J474" s="420">
        <f ca="1">IFERROR(__xludf.DUMMYFUNCTION("IMPORTRANGE(""https://docs.google.com/spreadsheets/d/1SX6NBoVAgQJ6U1MVXOaj8PK2l7WJ3RER9xtqwdhxkhw/edit?usp=sharing"",""ประจวบคีรีขันธ์!J369"")"),0)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IFERROR(__xludf.DUMMYFUNCTION("IMPORTRANGE(""https://docs.google.com/spreadsheets/d/1SX6NBoVAgQJ6U1MVXOaj8PK2l7WJ3RER9xtqwdhxkhw/edit?usp=sharing"",""ประจวบคีรีขันธ์!I370"")"),0)</f>
        <v>0</v>
      </c>
      <c r="J475" s="189">
        <f ca="1">IFERROR(__xludf.DUMMYFUNCTION("IMPORTRANGE(""https://docs.google.com/spreadsheets/d/1SX6NBoVAgQJ6U1MVXOaj8PK2l7WJ3RER9xtqwdhxkhw/edit?usp=sharing"",""ประจวบคีรีขันธ์!J370"")"),0)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IFERROR(__xludf.DUMMYFUNCTION("IMPORTRANGE(""https://docs.google.com/spreadsheets/d/1SX6NBoVAgQJ6U1MVXOaj8PK2l7WJ3RER9xtqwdhxkhw/edit?usp=sharing"",""ประจวบคีรีขันธ์!I371"")"),0)</f>
        <v>0</v>
      </c>
      <c r="J476" s="189">
        <f ca="1">IFERROR(__xludf.DUMMYFUNCTION("IMPORTRANGE(""https://docs.google.com/spreadsheets/d/1SX6NBoVAgQJ6U1MVXOaj8PK2l7WJ3RER9xtqwdhxkhw/edit?usp=sharing"",""ประจวบคีรีขันธ์!J371"")"),0)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IFERROR(__xludf.DUMMYFUNCTION("IMPORTRANGE(""https://docs.google.com/spreadsheets/d/1SX6NBoVAgQJ6U1MVXOaj8PK2l7WJ3RER9xtqwdhxkhw/edit?usp=sharing"",""ประจวบคีรีขันธ์!I372"")"),0)</f>
        <v>0</v>
      </c>
      <c r="J477" s="189">
        <f ca="1">IFERROR(__xludf.DUMMYFUNCTION("IMPORTRANGE(""https://docs.google.com/spreadsheets/d/1SX6NBoVAgQJ6U1MVXOaj8PK2l7WJ3RER9xtqwdhxkhw/edit?usp=sharing"",""ประจวบคีรีขันธ์!J372"")"),0)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IFERROR(__xludf.DUMMYFUNCTION("IMPORTRANGE(""https://docs.google.com/spreadsheets/d/1SX6NBoVAgQJ6U1MVXOaj8PK2l7WJ3RER9xtqwdhxkhw/edit?usp=sharing"",""ประจวบคีรีขันธ์!I373"")"),0)</f>
        <v>0</v>
      </c>
      <c r="J478" s="189">
        <f ca="1">IFERROR(__xludf.DUMMYFUNCTION("IMPORTRANGE(""https://docs.google.com/spreadsheets/d/1SX6NBoVAgQJ6U1MVXOaj8PK2l7WJ3RER9xtqwdhxkhw/edit?usp=sharing"",""ประจวบคีรีขันธ์!J373"")"),0)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IFERROR(__xludf.DUMMYFUNCTION("IMPORTRANGE(""https://docs.google.com/spreadsheets/d/1SX6NBoVAgQJ6U1MVXOaj8PK2l7WJ3RER9xtqwdhxkhw/edit?usp=sharing"",""ประจวบคีรีขันธ์!I374"")"),0)</f>
        <v>0</v>
      </c>
      <c r="J479" s="189">
        <f ca="1">IFERROR(__xludf.DUMMYFUNCTION("IMPORTRANGE(""https://docs.google.com/spreadsheets/d/1SX6NBoVAgQJ6U1MVXOaj8PK2l7WJ3RER9xtqwdhxkhw/edit?usp=sharing"",""ประจวบคีรีขันธ์!J374"")"),0)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IFERROR(__xludf.DUMMYFUNCTION("IMPORTRANGE(""https://docs.google.com/spreadsheets/d/1SX6NBoVAgQJ6U1MVXOaj8PK2l7WJ3RER9xtqwdhxkhw/edit?usp=sharing"",""ประจวบคีรีขันธ์!I375"")"),0)</f>
        <v>0</v>
      </c>
      <c r="J480" s="189">
        <f ca="1">IFERROR(__xludf.DUMMYFUNCTION("IMPORTRANGE(""https://docs.google.com/spreadsheets/d/1SX6NBoVAgQJ6U1MVXOaj8PK2l7WJ3RER9xtqwdhxkhw/edit?usp=sharing"",""ประจวบคีรีขันธ์!J375"")"),0)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IFERROR(__xludf.DUMMYFUNCTION("IMPORTRANGE(""https://docs.google.com/spreadsheets/d/1SX6NBoVAgQJ6U1MVXOaj8PK2l7WJ3RER9xtqwdhxkhw/edit?usp=sharing"",""ประจวบคีรีขันธ์!I376"")"),20755)</f>
        <v>20755</v>
      </c>
      <c r="J481" s="420">
        <f ca="1">IFERROR(__xludf.DUMMYFUNCTION("IMPORTRANGE(""https://docs.google.com/spreadsheets/d/1SX6NBoVAgQJ6U1MVXOaj8PK2l7WJ3RER9xtqwdhxkhw/edit?usp=sharing"",""ประจวบคีรีขันธ์!J376"")"),0)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IFERROR(__xludf.DUMMYFUNCTION("IMPORTRANGE(""https://docs.google.com/spreadsheets/d/1SX6NBoVAgQJ6U1MVXOaj8PK2l7WJ3RER9xtqwdhxkhw/edit?usp=sharing"",""ประจวบคีรีขันธ์!I377"")"),2020)</f>
        <v>2020</v>
      </c>
      <c r="J482" s="420">
        <f ca="1">IFERROR(__xludf.DUMMYFUNCTION("IMPORTRANGE(""https://docs.google.com/spreadsheets/d/1SX6NBoVAgQJ6U1MVXOaj8PK2l7WJ3RER9xtqwdhxkhw/edit?usp=sharing"",""ประจวบคีรีขันธ์!J377"")"),0)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IFERROR(__xludf.DUMMYFUNCTION("IMPORTRANGE(""https://docs.google.com/spreadsheets/d/1SX6NBoVAgQJ6U1MVXOaj8PK2l7WJ3RER9xtqwdhxkhw/edit?usp=sharing"",""ประจวบคีรีขันธ์!I378"")"),0)</f>
        <v>0</v>
      </c>
      <c r="J483" s="189">
        <f ca="1">IFERROR(__xludf.DUMMYFUNCTION("IMPORTRANGE(""https://docs.google.com/spreadsheets/d/1SX6NBoVAgQJ6U1MVXOaj8PK2l7WJ3RER9xtqwdhxkhw/edit?usp=sharing"",""ประจวบคีรีขันธ์!J378"")"),0)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IFERROR(__xludf.DUMMYFUNCTION("IMPORTRANGE(""https://docs.google.com/spreadsheets/d/1SX6NBoVAgQJ6U1MVXOaj8PK2l7WJ3RER9xtqwdhxkhw/edit?usp=sharing"",""ประจวบคีรีขันธ์!I379"")"),0)</f>
        <v>0</v>
      </c>
      <c r="J484" s="189">
        <f ca="1">IFERROR(__xludf.DUMMYFUNCTION("IMPORTRANGE(""https://docs.google.com/spreadsheets/d/1SX6NBoVAgQJ6U1MVXOaj8PK2l7WJ3RER9xtqwdhxkhw/edit?usp=sharing"",""ประจวบคีรีขันธ์!J379"")"),0)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IFERROR(__xludf.DUMMYFUNCTION("IMPORTRANGE(""https://docs.google.com/spreadsheets/d/1SX6NBoVAgQJ6U1MVXOaj8PK2l7WJ3RER9xtqwdhxkhw/edit?usp=sharing"",""ประจวบคีรีขันธ์!I380"")"),0)</f>
        <v>0</v>
      </c>
      <c r="J485" s="189">
        <f ca="1">IFERROR(__xludf.DUMMYFUNCTION("IMPORTRANGE(""https://docs.google.com/spreadsheets/d/1SX6NBoVAgQJ6U1MVXOaj8PK2l7WJ3RER9xtqwdhxkhw/edit?usp=sharing"",""ประจวบคีรีขันธ์!J380"")"),0)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IFERROR(__xludf.DUMMYFUNCTION("IMPORTRANGE(""https://docs.google.com/spreadsheets/d/1SX6NBoVAgQJ6U1MVXOaj8PK2l7WJ3RER9xtqwdhxkhw/edit?usp=sharing"",""ประจวบคีรีขันธ์!I381"")"),0)</f>
        <v>0</v>
      </c>
      <c r="J486" s="189">
        <f ca="1">IFERROR(__xludf.DUMMYFUNCTION("IMPORTRANGE(""https://docs.google.com/spreadsheets/d/1SX6NBoVAgQJ6U1MVXOaj8PK2l7WJ3RER9xtqwdhxkhw/edit?usp=sharing"",""ประจวบคีรีขันธ์!J381"")"),0)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IFERROR(__xludf.DUMMYFUNCTION("IMPORTRANGE(""https://docs.google.com/spreadsheets/d/1SX6NBoVAgQJ6U1MVXOaj8PK2l7WJ3RER9xtqwdhxkhw/edit?usp=sharing"",""ประจวบคีรีขันธ์!I382"")"),0)</f>
        <v>0</v>
      </c>
      <c r="J487" s="420">
        <f ca="1">IFERROR(__xludf.DUMMYFUNCTION("IMPORTRANGE(""https://docs.google.com/spreadsheets/d/1SX6NBoVAgQJ6U1MVXOaj8PK2l7WJ3RER9xtqwdhxkhw/edit?usp=sharing"",""ประจวบคีรีขันธ์!J382"")"),0)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IFERROR(__xludf.DUMMYFUNCTION("IMPORTRANGE(""https://docs.google.com/spreadsheets/d/1SX6NBoVAgQJ6U1MVXOaj8PK2l7WJ3RER9xtqwdhxkhw/edit?usp=sharing"",""ประจวบคีรีขันธ์!I383"")"),0)</f>
        <v>0</v>
      </c>
      <c r="J488" s="420">
        <f ca="1">IFERROR(__xludf.DUMMYFUNCTION("IMPORTRANGE(""https://docs.google.com/spreadsheets/d/1SX6NBoVAgQJ6U1MVXOaj8PK2l7WJ3RER9xtqwdhxkhw/edit?usp=sharing"",""ประจวบคีรีขันธ์!J383"")"),0)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IFERROR(__xludf.DUMMYFUNCTION("IMPORTRANGE(""https://docs.google.com/spreadsheets/d/1SX6NBoVAgQJ6U1MVXOaj8PK2l7WJ3RER9xtqwdhxkhw/edit?usp=sharing"",""ประจวบคีรีขันธ์!I384"")"),0)</f>
        <v>0</v>
      </c>
      <c r="J489" s="189">
        <f ca="1">IFERROR(__xludf.DUMMYFUNCTION("IMPORTRANGE(""https://docs.google.com/spreadsheets/d/1SX6NBoVAgQJ6U1MVXOaj8PK2l7WJ3RER9xtqwdhxkhw/edit?usp=sharing"",""ประจวบคีรีขันธ์!J384"")"),0)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IFERROR(__xludf.DUMMYFUNCTION("IMPORTRANGE(""https://docs.google.com/spreadsheets/d/1SX6NBoVAgQJ6U1MVXOaj8PK2l7WJ3RER9xtqwdhxkhw/edit?usp=sharing"",""ประจวบคีรีขันธ์!I385"")"),0)</f>
        <v>0</v>
      </c>
      <c r="J490" s="189">
        <f ca="1">IFERROR(__xludf.DUMMYFUNCTION("IMPORTRANGE(""https://docs.google.com/spreadsheets/d/1SX6NBoVAgQJ6U1MVXOaj8PK2l7WJ3RER9xtqwdhxkhw/edit?usp=sharing"",""ประจวบคีรีขันธ์!J385"")"),0)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IFERROR(__xludf.DUMMYFUNCTION("IMPORTRANGE(""https://docs.google.com/spreadsheets/d/1SX6NBoVAgQJ6U1MVXOaj8PK2l7WJ3RER9xtqwdhxkhw/edit?usp=sharing"",""ประจวบคีรีขันธ์!I386"")"),0)</f>
        <v>0</v>
      </c>
      <c r="J491" s="189">
        <f ca="1">IFERROR(__xludf.DUMMYFUNCTION("IMPORTRANGE(""https://docs.google.com/spreadsheets/d/1SX6NBoVAgQJ6U1MVXOaj8PK2l7WJ3RER9xtqwdhxkhw/edit?usp=sharing"",""ประจวบคีรีขันธ์!J386"")"),0)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IFERROR(__xludf.DUMMYFUNCTION("IMPORTRANGE(""https://docs.google.com/spreadsheets/d/1SX6NBoVAgQJ6U1MVXOaj8PK2l7WJ3RER9xtqwdhxkhw/edit?usp=sharing"",""ประจวบคีรีขันธ์!I387"")"),0)</f>
        <v>0</v>
      </c>
      <c r="J492" s="189">
        <f ca="1">IFERROR(__xludf.DUMMYFUNCTION("IMPORTRANGE(""https://docs.google.com/spreadsheets/d/1SX6NBoVAgQJ6U1MVXOaj8PK2l7WJ3RER9xtqwdhxkhw/edit?usp=sharing"",""ประจวบคีรีขันธ์!J387"")"),0)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IFERROR(__xludf.DUMMYFUNCTION("IMPORTRANGE(""https://docs.google.com/spreadsheets/d/1SX6NBoVAgQJ6U1MVXOaj8PK2l7WJ3RER9xtqwdhxkhw/edit?usp=sharing"",""ประจวบคีรีขันธ์!I388"")"),0)</f>
        <v>0</v>
      </c>
      <c r="J493" s="189">
        <f ca="1">IFERROR(__xludf.DUMMYFUNCTION("IMPORTRANGE(""https://docs.google.com/spreadsheets/d/1SX6NBoVAgQJ6U1MVXOaj8PK2l7WJ3RER9xtqwdhxkhw/edit?usp=sharing"",""ประจวบคีรีขันธ์!J388"")"),0)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IFERROR(__xludf.DUMMYFUNCTION("IMPORTRANGE(""https://docs.google.com/spreadsheets/d/1SX6NBoVAgQJ6U1MVXOaj8PK2l7WJ3RER9xtqwdhxkhw/edit?usp=sharing"",""ประจวบคีรีขันธ์!I389"")"),0)</f>
        <v>0</v>
      </c>
      <c r="J494" s="436">
        <f ca="1">IFERROR(__xludf.DUMMYFUNCTION("IMPORTRANGE(""https://docs.google.com/spreadsheets/d/1SX6NBoVAgQJ6U1MVXOaj8PK2l7WJ3RER9xtqwdhxkhw/edit?usp=sharing"",""ประจวบคีรีขันธ์!J389"")"),0)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IFERROR(__xludf.DUMMYFUNCTION("IMPORTRANGE(""https://docs.google.com/spreadsheets/d/1SX6NBoVAgQJ6U1MVXOaj8PK2l7WJ3RER9xtqwdhxkhw/edit?usp=sharing"",""ประจวบคีรีขันธ์!I390"")"),0)</f>
        <v>0</v>
      </c>
      <c r="J495" s="436">
        <f ca="1">IFERROR(__xludf.DUMMYFUNCTION("IMPORTRANGE(""https://docs.google.com/spreadsheets/d/1SX6NBoVAgQJ6U1MVXOaj8PK2l7WJ3RER9xtqwdhxkhw/edit?usp=sharing"",""ประจวบคีรีขันธ์!J390"")"),0)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IFERROR(__xludf.DUMMYFUNCTION("IMPORTRANGE(""https://docs.google.com/spreadsheets/d/1SX6NBoVAgQJ6U1MVXOaj8PK2l7WJ3RER9xtqwdhxkhw/edit?usp=sharing"",""ประจวบคีรีขันธ์!I391"")"),0)</f>
        <v>0</v>
      </c>
      <c r="J496" s="436">
        <f ca="1">IFERROR(__xludf.DUMMYFUNCTION("IMPORTRANGE(""https://docs.google.com/spreadsheets/d/1SX6NBoVAgQJ6U1MVXOaj8PK2l7WJ3RER9xtqwdhxkhw/edit?usp=sharing"",""ประจวบคีรีขันธ์!J391"")"),0)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IFERROR(__xludf.DUMMYFUNCTION("IMPORTRANGE(""https://docs.google.com/spreadsheets/d/1SX6NBoVAgQJ6U1MVXOaj8PK2l7WJ3RER9xtqwdhxkhw/edit?usp=sharing"",""ประจวบคีรีขันธ์!I392"")"),3739)</f>
        <v>3739</v>
      </c>
      <c r="J497" s="443">
        <f ca="1">IFERROR(__xludf.DUMMYFUNCTION("IMPORTRANGE(""https://docs.google.com/spreadsheets/d/1SX6NBoVAgQJ6U1MVXOaj8PK2l7WJ3RER9xtqwdhxkhw/edit?usp=sharing"",""ประจวบคีรีขันธ์!J392"")"),0)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IFERROR(__xludf.DUMMYFUNCTION("IMPORTRANGE(""https://docs.google.com/spreadsheets/d/1SX6NBoVAgQJ6U1MVXOaj8PK2l7WJ3RER9xtqwdhxkhw/edit?usp=sharing"",""ประจวบคีรีขันธ์!I393"")"),3739)</f>
        <v>3739</v>
      </c>
      <c r="J498" s="420">
        <f ca="1">IFERROR(__xludf.DUMMYFUNCTION("IMPORTRANGE(""https://docs.google.com/spreadsheets/d/1SX6NBoVAgQJ6U1MVXOaj8PK2l7WJ3RER9xtqwdhxkhw/edit?usp=sharing"",""ประจวบคีรีขันธ์!J393"")"),0)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IFERROR(__xludf.DUMMYFUNCTION("IMPORTRANGE(""https://docs.google.com/spreadsheets/d/1SX6NBoVAgQJ6U1MVXOaj8PK2l7WJ3RER9xtqwdhxkhw/edit?usp=sharing"",""ประจวบคีรีขันธ์!I394"")"),330)</f>
        <v>330</v>
      </c>
      <c r="J499" s="420">
        <f ca="1">IFERROR(__xludf.DUMMYFUNCTION("IMPORTRANGE(""https://docs.google.com/spreadsheets/d/1SX6NBoVAgQJ6U1MVXOaj8PK2l7WJ3RER9xtqwdhxkhw/edit?usp=sharing"",""ประจวบคีรีขันธ์!J394"")"),0)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IFERROR(__xludf.DUMMYFUNCTION("IMPORTRANGE(""https://docs.google.com/spreadsheets/d/1SX6NBoVAgQJ6U1MVXOaj8PK2l7WJ3RER9xtqwdhxkhw/edit?usp=sharing"",""ประจวบคีรีขันธ์!I395"")"),0)</f>
        <v>0</v>
      </c>
      <c r="J500" s="162">
        <f ca="1">IFERROR(__xludf.DUMMYFUNCTION("IMPORTRANGE(""https://docs.google.com/spreadsheets/d/1SX6NBoVAgQJ6U1MVXOaj8PK2l7WJ3RER9xtqwdhxkhw/edit?usp=sharing"",""ประจวบคีรีขันธ์!J395"")"),0)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IFERROR(__xludf.DUMMYFUNCTION("IMPORTRANGE(""https://docs.google.com/spreadsheets/d/1SX6NBoVAgQJ6U1MVXOaj8PK2l7WJ3RER9xtqwdhxkhw/edit?usp=sharing"",""ประจวบคีรีขันธ์!I396"")"),0)</f>
        <v>0</v>
      </c>
      <c r="J501" s="162">
        <f ca="1">IFERROR(__xludf.DUMMYFUNCTION("IMPORTRANGE(""https://docs.google.com/spreadsheets/d/1SX6NBoVAgQJ6U1MVXOaj8PK2l7WJ3RER9xtqwdhxkhw/edit?usp=sharing"",""ประจวบคีรีขันธ์!J396"")"),0)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IFERROR(__xludf.DUMMYFUNCTION("IMPORTRANGE(""https://docs.google.com/spreadsheets/d/1SX6NBoVAgQJ6U1MVXOaj8PK2l7WJ3RER9xtqwdhxkhw/edit?usp=sharing"",""ประจวบคีรีขันธ์!I397"")"),0)</f>
        <v>0</v>
      </c>
      <c r="J502" s="189">
        <f ca="1">IFERROR(__xludf.DUMMYFUNCTION("IMPORTRANGE(""https://docs.google.com/spreadsheets/d/1SX6NBoVAgQJ6U1MVXOaj8PK2l7WJ3RER9xtqwdhxkhw/edit?usp=sharing"",""ประจวบคีรีขันธ์!J397"")"),0)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IFERROR(__xludf.DUMMYFUNCTION("IMPORTRANGE(""https://docs.google.com/spreadsheets/d/1SX6NBoVAgQJ6U1MVXOaj8PK2l7WJ3RER9xtqwdhxkhw/edit?usp=sharing"",""ประจวบคีรีขันธ์!I398"")"),0)</f>
        <v>0</v>
      </c>
      <c r="J503" s="198">
        <f ca="1">IFERROR(__xludf.DUMMYFUNCTION("IMPORTRANGE(""https://docs.google.com/spreadsheets/d/1SX6NBoVAgQJ6U1MVXOaj8PK2l7WJ3RER9xtqwdhxkhw/edit?usp=sharing"",""ประจวบคีรีขันธ์!J398"")"),0)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IFERROR(__xludf.DUMMYFUNCTION("IMPORTRANGE(""https://docs.google.com/spreadsheets/d/1SX6NBoVAgQJ6U1MVXOaj8PK2l7WJ3RER9xtqwdhxkhw/edit?usp=sharing"",""ประจวบคีรีขันธ์!I399"")"),0)</f>
        <v>0</v>
      </c>
      <c r="J504" s="189">
        <f ca="1">IFERROR(__xludf.DUMMYFUNCTION("IMPORTRANGE(""https://docs.google.com/spreadsheets/d/1SX6NBoVAgQJ6U1MVXOaj8PK2l7WJ3RER9xtqwdhxkhw/edit?usp=sharing"",""ประจวบคีรีขันธ์!J399"")"),0)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IFERROR(__xludf.DUMMYFUNCTION("IMPORTRANGE(""https://docs.google.com/spreadsheets/d/1SX6NBoVAgQJ6U1MVXOaj8PK2l7WJ3RER9xtqwdhxkhw/edit?usp=sharing"",""ประจวบคีรีขันธ์!I400"")"),0)</f>
        <v>0</v>
      </c>
      <c r="J505" s="198">
        <f ca="1">IFERROR(__xludf.DUMMYFUNCTION("IMPORTRANGE(""https://docs.google.com/spreadsheets/d/1SX6NBoVAgQJ6U1MVXOaj8PK2l7WJ3RER9xtqwdhxkhw/edit?usp=sharing"",""ประจวบคีรีขันธ์!J400"")"),0)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IFERROR(__xludf.DUMMYFUNCTION("IMPORTRANGE(""https://docs.google.com/spreadsheets/d/1SX6NBoVAgQJ6U1MVXOaj8PK2l7WJ3RER9xtqwdhxkhw/edit?usp=sharing"",""ประจวบคีรีขันธ์!I401"")"),0)</f>
        <v>0</v>
      </c>
      <c r="J506" s="189">
        <f ca="1">IFERROR(__xludf.DUMMYFUNCTION("IMPORTRANGE(""https://docs.google.com/spreadsheets/d/1SX6NBoVAgQJ6U1MVXOaj8PK2l7WJ3RER9xtqwdhxkhw/edit?usp=sharing"",""ประจวบคีรีขันธ์!J401"")"),0)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IFERROR(__xludf.DUMMYFUNCTION("IMPORTRANGE(""https://docs.google.com/spreadsheets/d/1SX6NBoVAgQJ6U1MVXOaj8PK2l7WJ3RER9xtqwdhxkhw/edit?usp=sharing"",""ประจวบคีรีขันธ์!I402"")"),0)</f>
        <v>0</v>
      </c>
      <c r="J507" s="198">
        <f ca="1">IFERROR(__xludf.DUMMYFUNCTION("IMPORTRANGE(""https://docs.google.com/spreadsheets/d/1SX6NBoVAgQJ6U1MVXOaj8PK2l7WJ3RER9xtqwdhxkhw/edit?usp=sharing"",""ประจวบคีรีขันธ์!J402"")"),0)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IFERROR(__xludf.DUMMYFUNCTION("IMPORTRANGE(""https://docs.google.com/spreadsheets/d/1SX6NBoVAgQJ6U1MVXOaj8PK2l7WJ3RER9xtqwdhxkhw/edit?usp=sharing"",""ประจวบคีรีขันธ์!I403"")"),0)</f>
        <v>0</v>
      </c>
      <c r="J508" s="162">
        <f ca="1">IFERROR(__xludf.DUMMYFUNCTION("IMPORTRANGE(""https://docs.google.com/spreadsheets/d/1SX6NBoVAgQJ6U1MVXOaj8PK2l7WJ3RER9xtqwdhxkhw/edit?usp=sharing"",""ประจวบคีรีขันธ์!J403"")"),0)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IFERROR(__xludf.DUMMYFUNCTION("IMPORTRANGE(""https://docs.google.com/spreadsheets/d/1SX6NBoVAgQJ6U1MVXOaj8PK2l7WJ3RER9xtqwdhxkhw/edit?usp=sharing"",""ประจวบคีรีขันธ์!I404"")"),0)</f>
        <v>0</v>
      </c>
      <c r="J509" s="162">
        <f ca="1">IFERROR(__xludf.DUMMYFUNCTION("IMPORTRANGE(""https://docs.google.com/spreadsheets/d/1SX6NBoVAgQJ6U1MVXOaj8PK2l7WJ3RER9xtqwdhxkhw/edit?usp=sharing"",""ประจวบคีรีขันธ์!J404"")"),0)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IFERROR(__xludf.DUMMYFUNCTION("IMPORTRANGE(""https://docs.google.com/spreadsheets/d/1SX6NBoVAgQJ6U1MVXOaj8PK2l7WJ3RER9xtqwdhxkhw/edit?usp=sharing"",""ประจวบคีรีขันธ์!I405"")"),0)</f>
        <v>0</v>
      </c>
      <c r="J510" s="198">
        <f ca="1">IFERROR(__xludf.DUMMYFUNCTION("IMPORTRANGE(""https://docs.google.com/spreadsheets/d/1SX6NBoVAgQJ6U1MVXOaj8PK2l7WJ3RER9xtqwdhxkhw/edit?usp=sharing"",""ประจวบคีรีขันธ์!J405"")"),0)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IFERROR(__xludf.DUMMYFUNCTION("IMPORTRANGE(""https://docs.google.com/spreadsheets/d/1SX6NBoVAgQJ6U1MVXOaj8PK2l7WJ3RER9xtqwdhxkhw/edit?usp=sharing"",""ประจวบคีรีขันธ์!I406"")"),0)</f>
        <v>0</v>
      </c>
      <c r="J511" s="198">
        <f ca="1">IFERROR(__xludf.DUMMYFUNCTION("IMPORTRANGE(""https://docs.google.com/spreadsheets/d/1SX6NBoVAgQJ6U1MVXOaj8PK2l7WJ3RER9xtqwdhxkhw/edit?usp=sharing"",""ประจวบคีรีขันธ์!J406"")"),0)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IFERROR(__xludf.DUMMYFUNCTION("IMPORTRANGE(""https://docs.google.com/spreadsheets/d/1SX6NBoVAgQJ6U1MVXOaj8PK2l7WJ3RER9xtqwdhxkhw/edit?usp=sharing"",""ประจวบคีรีขันธ์!I407"")"),0)</f>
        <v>0</v>
      </c>
      <c r="J512" s="198">
        <f ca="1">IFERROR(__xludf.DUMMYFUNCTION("IMPORTRANGE(""https://docs.google.com/spreadsheets/d/1SX6NBoVAgQJ6U1MVXOaj8PK2l7WJ3RER9xtqwdhxkhw/edit?usp=sharing"",""ประจวบคีรีขันธ์!J407"")"),0)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IFERROR(__xludf.DUMMYFUNCTION("IMPORTRANGE(""https://docs.google.com/spreadsheets/d/1SX6NBoVAgQJ6U1MVXOaj8PK2l7WJ3RER9xtqwdhxkhw/edit?usp=sharing"",""ประจวบคีรีขันธ์!I408"")"),0)</f>
        <v>0</v>
      </c>
      <c r="J513" s="198">
        <f ca="1">IFERROR(__xludf.DUMMYFUNCTION("IMPORTRANGE(""https://docs.google.com/spreadsheets/d/1SX6NBoVAgQJ6U1MVXOaj8PK2l7WJ3RER9xtqwdhxkhw/edit?usp=sharing"",""ประจวบคีรีขันธ์!J408"")"),0)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IFERROR(__xludf.DUMMYFUNCTION("IMPORTRANGE(""https://docs.google.com/spreadsheets/d/1SX6NBoVAgQJ6U1MVXOaj8PK2l7WJ3RER9xtqwdhxkhw/edit?usp=sharing"",""ประจวบคีรีขันธ์!I409"")"),0)</f>
        <v>0</v>
      </c>
      <c r="J514" s="198">
        <f ca="1">IFERROR(__xludf.DUMMYFUNCTION("IMPORTRANGE(""https://docs.google.com/spreadsheets/d/1SX6NBoVAgQJ6U1MVXOaj8PK2l7WJ3RER9xtqwdhxkhw/edit?usp=sharing"",""ประจวบคีรีขันธ์!J409"")"),0)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IFERROR(__xludf.DUMMYFUNCTION("IMPORTRANGE(""https://docs.google.com/spreadsheets/d/1SX6NBoVAgQJ6U1MVXOaj8PK2l7WJ3RER9xtqwdhxkhw/edit?usp=sharing"",""ประจวบคีรีขันธ์!I410"")"),0)</f>
        <v>0</v>
      </c>
      <c r="J515" s="198">
        <f ca="1">IFERROR(__xludf.DUMMYFUNCTION("IMPORTRANGE(""https://docs.google.com/spreadsheets/d/1SX6NBoVAgQJ6U1MVXOaj8PK2l7WJ3RER9xtqwdhxkhw/edit?usp=sharing"",""ประจวบคีรีขันธ์!J410"")"),0)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IFERROR(__xludf.DUMMYFUNCTION("IMPORTRANGE(""https://docs.google.com/spreadsheets/d/1SX6NBoVAgQJ6U1MVXOaj8PK2l7WJ3RER9xtqwdhxkhw/edit?usp=sharing"",""ประจวบคีรีขันธ์!I411"")"),0)</f>
        <v>0</v>
      </c>
      <c r="J516" s="267">
        <f ca="1">IFERROR(__xludf.DUMMYFUNCTION("IMPORTRANGE(""https://docs.google.com/spreadsheets/d/1SX6NBoVAgQJ6U1MVXOaj8PK2l7WJ3RER9xtqwdhxkhw/edit?usp=sharing"",""ประจวบคีรีขันธ์!J411"")"),0)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IFERROR(__xludf.DUMMYFUNCTION("IMPORTRANGE(""https://docs.google.com/spreadsheets/d/1SX6NBoVAgQJ6U1MVXOaj8PK2l7WJ3RER9xtqwdhxkhw/edit?usp=sharing"",""ประจวบคีรีขันธ์!I412"")"),0)</f>
        <v>0</v>
      </c>
      <c r="J517" s="284">
        <f ca="1">IFERROR(__xludf.DUMMYFUNCTION("IMPORTRANGE(""https://docs.google.com/spreadsheets/d/1SX6NBoVAgQJ6U1MVXOaj8PK2l7WJ3RER9xtqwdhxkhw/edit?usp=sharing"",""ประจวบคีรีขันธ์!J412"")"),0)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IFERROR(__xludf.DUMMYFUNCTION("IMPORTRANGE(""https://docs.google.com/spreadsheets/d/1SX6NBoVAgQJ6U1MVXOaj8PK2l7WJ3RER9xtqwdhxkhw/edit?usp=sharing"",""ประจวบคีรีขันธ์!I413"")"),0)</f>
        <v>0</v>
      </c>
      <c r="J518" s="284">
        <f ca="1">IFERROR(__xludf.DUMMYFUNCTION("IMPORTRANGE(""https://docs.google.com/spreadsheets/d/1SX6NBoVAgQJ6U1MVXOaj8PK2l7WJ3RER9xtqwdhxkhw/edit?usp=sharing"",""ประจวบคีรีขันธ์!J413"")"),0)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IFERROR(__xludf.DUMMYFUNCTION("IMPORTRANGE(""https://docs.google.com/spreadsheets/d/1SX6NBoVAgQJ6U1MVXOaj8PK2l7WJ3RER9xtqwdhxkhw/edit?usp=sharing"",""ประจวบคีรีขันธ์!I414"")"),0)</f>
        <v>0</v>
      </c>
      <c r="J519" s="188">
        <f ca="1">IFERROR(__xludf.DUMMYFUNCTION("IMPORTRANGE(""https://docs.google.com/spreadsheets/d/1SX6NBoVAgQJ6U1MVXOaj8PK2l7WJ3RER9xtqwdhxkhw/edit?usp=sharing"",""ประจวบคีรีขันธ์!J414"")"),0)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IFERROR(__xludf.DUMMYFUNCTION("IMPORTRANGE(""https://docs.google.com/spreadsheets/d/1SX6NBoVAgQJ6U1MVXOaj8PK2l7WJ3RER9xtqwdhxkhw/edit?usp=sharing"",""ประจวบคีรีขันธ์!I415"")"),0)</f>
        <v>0</v>
      </c>
      <c r="J520" s="188">
        <f ca="1">IFERROR(__xludf.DUMMYFUNCTION("IMPORTRANGE(""https://docs.google.com/spreadsheets/d/1SX6NBoVAgQJ6U1MVXOaj8PK2l7WJ3RER9xtqwdhxkhw/edit?usp=sharing"",""ประจวบคีรีขันธ์!J415"")"),0)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IFERROR(__xludf.DUMMYFUNCTION("IMPORTRANGE(""https://docs.google.com/spreadsheets/d/1SX6NBoVAgQJ6U1MVXOaj8PK2l7WJ3RER9xtqwdhxkhw/edit?usp=sharing"",""ประจวบคีรีขันธ์!I416"")"),0)</f>
        <v>0</v>
      </c>
      <c r="J521" s="188">
        <f ca="1">IFERROR(__xludf.DUMMYFUNCTION("IMPORTRANGE(""https://docs.google.com/spreadsheets/d/1SX6NBoVAgQJ6U1MVXOaj8PK2l7WJ3RER9xtqwdhxkhw/edit?usp=sharing"",""ประจวบคีรีขันธ์!J416"")"),0)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IFERROR(__xludf.DUMMYFUNCTION("IMPORTRANGE(""https://docs.google.com/spreadsheets/d/1SX6NBoVAgQJ6U1MVXOaj8PK2l7WJ3RER9xtqwdhxkhw/edit?usp=sharing"",""ประจวบคีรีขันธ์!I417"")"),0)</f>
        <v>0</v>
      </c>
      <c r="J522" s="188">
        <f ca="1">IFERROR(__xludf.DUMMYFUNCTION("IMPORTRANGE(""https://docs.google.com/spreadsheets/d/1SX6NBoVAgQJ6U1MVXOaj8PK2l7WJ3RER9xtqwdhxkhw/edit?usp=sharing"",""ประจวบคีรีขันธ์!J417"")"),0)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IFERROR(__xludf.DUMMYFUNCTION("IMPORTRANGE(""https://docs.google.com/spreadsheets/d/1SX6NBoVAgQJ6U1MVXOaj8PK2l7WJ3RER9xtqwdhxkhw/edit?usp=sharing"",""ประจวบคีรีขันธ์!I418"")"),0)</f>
        <v>0</v>
      </c>
      <c r="J523" s="188">
        <f ca="1">IFERROR(__xludf.DUMMYFUNCTION("IMPORTRANGE(""https://docs.google.com/spreadsheets/d/1SX6NBoVAgQJ6U1MVXOaj8PK2l7WJ3RER9xtqwdhxkhw/edit?usp=sharing"",""ประจวบคีรีขันธ์!J418"")"),49)</f>
        <v>49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IFERROR(__xludf.DUMMYFUNCTION("IMPORTRANGE(""https://docs.google.com/spreadsheets/d/1SX6NBoVAgQJ6U1MVXOaj8PK2l7WJ3RER9xtqwdhxkhw/edit?usp=sharing"",""ประจวบคีรีขันธ์!I419"")"),0)</f>
        <v>0</v>
      </c>
      <c r="J524" s="188">
        <f ca="1">IFERROR(__xludf.DUMMYFUNCTION("IMPORTRANGE(""https://docs.google.com/spreadsheets/d/1SX6NBoVAgQJ6U1MVXOaj8PK2l7WJ3RER9xtqwdhxkhw/edit?usp=sharing"",""ประจวบคีรีขันธ์!J419"")"),4)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IFERROR(__xludf.DUMMYFUNCTION("IMPORTRANGE(""https://docs.google.com/spreadsheets/d/1SX6NBoVAgQJ6U1MVXOaj8PK2l7WJ3RER9xtqwdhxkhw/edit?usp=sharing"",""ประจวบคีรีขันธ์!I420"")"),49)</f>
        <v>49</v>
      </c>
      <c r="J525" s="284">
        <f ca="1">IFERROR(__xludf.DUMMYFUNCTION("IMPORTRANGE(""https://docs.google.com/spreadsheets/d/1SX6NBoVAgQJ6U1MVXOaj8PK2l7WJ3RER9xtqwdhxkhw/edit?usp=sharing"",""ประจวบคีรีขันธ์!J420"")"),28)</f>
        <v>28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IFERROR(__xludf.DUMMYFUNCTION("IMPORTRANGE(""https://docs.google.com/spreadsheets/d/1SX6NBoVAgQJ6U1MVXOaj8PK2l7WJ3RER9xtqwdhxkhw/edit?usp=sharing"",""ประจวบคีรีขันธ์!I421"")"),4)</f>
        <v>4</v>
      </c>
      <c r="J526" s="284">
        <f ca="1">IFERROR(__xludf.DUMMYFUNCTION("IMPORTRANGE(""https://docs.google.com/spreadsheets/d/1SX6NBoVAgQJ6U1MVXOaj8PK2l7WJ3RER9xtqwdhxkhw/edit?usp=sharing"",""ประจวบคีรีขันธ์!J421"")"),2)</f>
        <v>2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IFERROR(__xludf.DUMMYFUNCTION("IMPORTRANGE(""https://docs.google.com/spreadsheets/d/1SX6NBoVAgQJ6U1MVXOaj8PK2l7WJ3RER9xtqwdhxkhw/edit?usp=sharing"",""ประจวบคีรีขันธ์!I422"")"),0)</f>
        <v>0</v>
      </c>
      <c r="J527" s="198">
        <f ca="1">IFERROR(__xludf.DUMMYFUNCTION("IMPORTRANGE(""https://docs.google.com/spreadsheets/d/1SX6NBoVAgQJ6U1MVXOaj8PK2l7WJ3RER9xtqwdhxkhw/edit?usp=sharing"",""ประจวบคีรีขันธ์!J422"")"),28)</f>
        <v>28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IFERROR(__xludf.DUMMYFUNCTION("IMPORTRANGE(""https://docs.google.com/spreadsheets/d/1SX6NBoVAgQJ6U1MVXOaj8PK2l7WJ3RER9xtqwdhxkhw/edit?usp=sharing"",""ประจวบคีรีขันธ์!I423"")"),0)</f>
        <v>0</v>
      </c>
      <c r="J528" s="198">
        <f ca="1">IFERROR(__xludf.DUMMYFUNCTION("IMPORTRANGE(""https://docs.google.com/spreadsheets/d/1SX6NBoVAgQJ6U1MVXOaj8PK2l7WJ3RER9xtqwdhxkhw/edit?usp=sharing"",""ประจวบคีรีขันธ์!J423"")"),2)</f>
        <v>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IFERROR(__xludf.DUMMYFUNCTION("IMPORTRANGE(""https://docs.google.com/spreadsheets/d/1SX6NBoVAgQJ6U1MVXOaj8PK2l7WJ3RER9xtqwdhxkhw/edit?usp=sharing"",""ประจวบคีรีขันธ์!I424"")"),0)</f>
        <v>0</v>
      </c>
      <c r="J529" s="198">
        <f ca="1">IFERROR(__xludf.DUMMYFUNCTION("IMPORTRANGE(""https://docs.google.com/spreadsheets/d/1SX6NBoVAgQJ6U1MVXOaj8PK2l7WJ3RER9xtqwdhxkhw/edit?usp=sharing"",""ประจวบคีรีขันธ์!J424"")"),0)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IFERROR(__xludf.DUMMYFUNCTION("IMPORTRANGE(""https://docs.google.com/spreadsheets/d/1SX6NBoVAgQJ6U1MVXOaj8PK2l7WJ3RER9xtqwdhxkhw/edit?usp=sharing"",""ประจวบคีรีขันธ์!I425"")"),0)</f>
        <v>0</v>
      </c>
      <c r="J530" s="198">
        <f ca="1">IFERROR(__xludf.DUMMYFUNCTION("IMPORTRANGE(""https://docs.google.com/spreadsheets/d/1SX6NBoVAgQJ6U1MVXOaj8PK2l7WJ3RER9xtqwdhxkhw/edit?usp=sharing"",""ประจวบคีรีขันธ์!J425"")"),0)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IFERROR(__xludf.DUMMYFUNCTION("IMPORTRANGE(""https://docs.google.com/spreadsheets/d/1SX6NBoVAgQJ6U1MVXOaj8PK2l7WJ3RER9xtqwdhxkhw/edit?usp=sharing"",""ประจวบคีรีขันธ์!I426"")"),0)</f>
        <v>0</v>
      </c>
      <c r="J531" s="198">
        <f ca="1">IFERROR(__xludf.DUMMYFUNCTION("IMPORTRANGE(""https://docs.google.com/spreadsheets/d/1SX6NBoVAgQJ6U1MVXOaj8PK2l7WJ3RER9xtqwdhxkhw/edit?usp=sharing"",""ประจวบคีรีขันธ์!J426"")"),0)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IFERROR(__xludf.DUMMYFUNCTION("IMPORTRANGE(""https://docs.google.com/spreadsheets/d/1SX6NBoVAgQJ6U1MVXOaj8PK2l7WJ3RER9xtqwdhxkhw/edit?usp=sharing"",""ประจวบคีรีขันธ์!I427"")"),0)</f>
        <v>0</v>
      </c>
      <c r="J532" s="466">
        <f ca="1">IFERROR(__xludf.DUMMYFUNCTION("IMPORTRANGE(""https://docs.google.com/spreadsheets/d/1SX6NBoVAgQJ6U1MVXOaj8PK2l7WJ3RER9xtqwdhxkhw/edit?usp=sharing"",""ประจวบคีรีขันธ์!J427"")"),0)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IFERROR(__xludf.DUMMYFUNCTION("IMPORTRANGE(""https://docs.google.com/spreadsheets/d/1SX6NBoVAgQJ6U1MVXOaj8PK2l7WJ3RER9xtqwdhxkhw/edit?usp=sharing"",""ประจวบคีรีขันธ์!I428"")"),22)</f>
        <v>22</v>
      </c>
      <c r="J533" s="410">
        <f ca="1">IFERROR(__xludf.DUMMYFUNCTION("IMPORTRANGE(""https://docs.google.com/spreadsheets/d/1SX6NBoVAgQJ6U1MVXOaj8PK2l7WJ3RER9xtqwdhxkhw/edit?usp=sharing"",""ประจวบคีรีขันธ์!J428"")"),22)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IFERROR(__xludf.DUMMYFUNCTION("IMPORTRANGE(""https://docs.google.com/spreadsheets/d/1SX6NBoVAgQJ6U1MVXOaj8PK2l7WJ3RER9xtqwdhxkhw/edit?usp=sharing"",""ประจวบคีรีขันธ์!L428"")"),34340)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IFERROR(__xludf.DUMMYFUNCTION("IMPORTRANGE(""https://docs.google.com/spreadsheets/d/1SX6NBoVAgQJ6U1MVXOaj8PK2l7WJ3RER9xtqwdhxkhw/edit?usp=sharing"",""ประจวบคีรีขันธ์!M428"")"),31910)</f>
        <v>31910</v>
      </c>
      <c r="O533" s="412">
        <f t="shared" ref="O533:O537" ca="1" si="118">+IF(L533&gt;0,N533*100/L533,0)</f>
        <v>92.923704135119394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IFERROR(__xludf.DUMMYFUNCTION("IMPORTRANGE(""https://docs.google.com/spreadsheets/d/1SX6NBoVAgQJ6U1MVXOaj8PK2l7WJ3RER9xtqwdhxkhw/edit?usp=sharing"",""ประจวบคีรีขันธ์!L429"")"),0)</f>
        <v>0</v>
      </c>
      <c r="M534" s="164"/>
      <c r="N534" s="169">
        <f ca="1">IFERROR(__xludf.DUMMYFUNCTION("IMPORTRANGE(""https://docs.google.com/spreadsheets/d/1SX6NBoVAgQJ6U1MVXOaj8PK2l7WJ3RER9xtqwdhxkhw/edit?usp=sharing"",""ประจวบคีรีขันธ์!M429"")"),0)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IFERROR(__xludf.DUMMYFUNCTION("IMPORTRANGE(""https://docs.google.com/spreadsheets/d/1SX6NBoVAgQJ6U1MVXOaj8PK2l7WJ3RER9xtqwdhxkhw/edit?usp=sharing"",""ประจวบคีรีขันธ์!L430"")"),34340)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IFERROR(__xludf.DUMMYFUNCTION("IMPORTRANGE(""https://docs.google.com/spreadsheets/d/1SX6NBoVAgQJ6U1MVXOaj8PK2l7WJ3RER9xtqwdhxkhw/edit?usp=sharing"",""ประจวบคีรีขันธ์!M430"")"),31910)</f>
        <v>31910</v>
      </c>
      <c r="O535" s="169">
        <f t="shared" ca="1" si="118"/>
        <v>92.923704135119394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IFERROR(__xludf.DUMMYFUNCTION("IMPORTRANGE(""https://docs.google.com/spreadsheets/d/1SX6NBoVAgQJ6U1MVXOaj8PK2l7WJ3RER9xtqwdhxkhw/edit?usp=sharing"",""ประจวบคีรีขันธ์!L431"")"),0)</f>
        <v>0</v>
      </c>
      <c r="M536" s="169"/>
      <c r="N536" s="169">
        <f ca="1">IFERROR(__xludf.DUMMYFUNCTION("IMPORTRANGE(""https://docs.google.com/spreadsheets/d/1SX6NBoVAgQJ6U1MVXOaj8PK2l7WJ3RER9xtqwdhxkhw/edit?usp=sharing"",""ประจวบคีรีขันธ์!M431"")"),0)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IFERROR(__xludf.DUMMYFUNCTION("IMPORTRANGE(""https://docs.google.com/spreadsheets/d/1SX6NBoVAgQJ6U1MVXOaj8PK2l7WJ3RER9xtqwdhxkhw/edit?usp=sharing"",""ประจวบคีรีขันธ์!L432"")"),34340)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IFERROR(__xludf.DUMMYFUNCTION("IMPORTRANGE(""https://docs.google.com/spreadsheets/d/1SX6NBoVAgQJ6U1MVXOaj8PK2l7WJ3RER9xtqwdhxkhw/edit?usp=sharing"",""ประจวบคีรีขันธ์!M432"")"),31910)</f>
        <v>31910</v>
      </c>
      <c r="O537" s="169">
        <f t="shared" ca="1" si="118"/>
        <v>92.923704135119394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IFERROR(__xludf.DUMMYFUNCTION("IMPORTRANGE(""https://docs.google.com/spreadsheets/d/1SX6NBoVAgQJ6U1MVXOaj8PK2l7WJ3RER9xtqwdhxkhw/edit?usp=sharing"",""ประจวบคีรีขันธ์!M433"")"),18740)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IFERROR(__xludf.DUMMYFUNCTION("IMPORTRANGE(""https://docs.google.com/spreadsheets/d/1SX6NBoVAgQJ6U1MVXOaj8PK2l7WJ3RER9xtqwdhxkhw/edit?usp=sharing"",""ประจวบคีรีขันธ์!M434"")"),0)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IFERROR(__xludf.DUMMYFUNCTION("IMPORTRANGE(""https://docs.google.com/spreadsheets/d/1SX6NBoVAgQJ6U1MVXOaj8PK2l7WJ3RER9xtqwdhxkhw/edit?usp=sharing"",""ประจวบคีรีขันธ์!M435"")"),0)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IFERROR(__xludf.DUMMYFUNCTION("IMPORTRANGE(""https://docs.google.com/spreadsheets/d/1SX6NBoVAgQJ6U1MVXOaj8PK2l7WJ3RER9xtqwdhxkhw/edit?usp=sharing"",""ประจวบคีรีขันธ์!M436"")"),13170)</f>
        <v>13170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IFERROR(__xludf.DUMMYFUNCTION("IMPORTRANGE(""https://docs.google.com/spreadsheets/d/1SX6NBoVAgQJ6U1MVXOaj8PK2l7WJ3RER9xtqwdhxkhw/edit?usp=sharing"",""ประจวบคีรีขันธ์!J438"")"),0)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IFERROR(__xludf.DUMMYFUNCTION("IMPORTRANGE(""https://docs.google.com/spreadsheets/d/1SX6NBoVAgQJ6U1MVXOaj8PK2l7WJ3RER9xtqwdhxkhw/edit?usp=sharing"",""ประจวบคีรีขันธ์!J439"")"),0)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IFERROR(__xludf.DUMMYFUNCTION("IMPORTRANGE(""https://docs.google.com/spreadsheets/d/1SX6NBoVAgQJ6U1MVXOaj8PK2l7WJ3RER9xtqwdhxkhw/edit?usp=sharing"",""ประจวบคีรีขันธ์!J440"")"),1)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IFERROR(__xludf.DUMMYFUNCTION("IMPORTRANGE(""https://docs.google.com/spreadsheets/d/1SX6NBoVAgQJ6U1MVXOaj8PK2l7WJ3RER9xtqwdhxkhw/edit?usp=sharing"",""ประจวบคีรีขันธ์!J441"")"),1)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IFERROR(__xludf.DUMMYFUNCTION("IMPORTRANGE(""https://docs.google.com/spreadsheets/d/1SX6NBoVAgQJ6U1MVXOaj8PK2l7WJ3RER9xtqwdhxkhw/edit?usp=sharing"",""ประจวบคีรีขันธ์!I442"")"),22)</f>
        <v>22</v>
      </c>
      <c r="J547" s="189">
        <f ca="1">IFERROR(__xludf.DUMMYFUNCTION("IMPORTRANGE(""https://docs.google.com/spreadsheets/d/1SX6NBoVAgQJ6U1MVXOaj8PK2l7WJ3RER9xtqwdhxkhw/edit?usp=sharing"",""ประจวบคีรีขันธ์!J442"")"),22)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IFERROR(__xludf.DUMMYFUNCTION("IMPORTRANGE(""https://docs.google.com/spreadsheets/d/1SX6NBoVAgQJ6U1MVXOaj8PK2l7WJ3RER9xtqwdhxkhw/edit?usp=sharing"",""ประจวบคีรีขันธ์!J166"")"),0)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IFERROR(__xludf.DUMMYFUNCTION("IMPORTRANGE(""https://docs.google.com/spreadsheets/d/1SX6NBoVAgQJ6U1MVXOaj8PK2l7WJ3RER9xtqwdhxkhw/edit?usp=sharing"",""ประจวบคีรีขันธ์!J444"")"),0)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IFERROR(__xludf.DUMMYFUNCTION("IMPORTRANGE(""https://docs.google.com/spreadsheets/d/1SX6NBoVAgQJ6U1MVXOaj8PK2l7WJ3RER9xtqwdhxkhw/edit?usp=sharing"",""ประจวบคีรีขันธ์!J445"")"),1)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IFERROR(__xludf.DUMMYFUNCTION("IMPORTRANGE(""https://docs.google.com/spreadsheets/d/1SX6NBoVAgQJ6U1MVXOaj8PK2l7WJ3RER9xtqwdhxkhw/edit?usp=sharing"",""ประจวบคีรีขันธ์!I446"")"),0)</f>
        <v>0</v>
      </c>
      <c r="J551" s="410">
        <f ca="1">IFERROR(__xludf.DUMMYFUNCTION("IMPORTRANGE(""https://docs.google.com/spreadsheets/d/1SX6NBoVAgQJ6U1MVXOaj8PK2l7WJ3RER9xtqwdhxkhw/edit?usp=sharing"",""ประจวบคีรีขันธ์!J446"")"),0)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IFERROR(__xludf.DUMMYFUNCTION("IMPORTRANGE(""https://docs.google.com/spreadsheets/d/1SX6NBoVAgQJ6U1MVXOaj8PK2l7WJ3RER9xtqwdhxkhw/edit?usp=sharing"",""ประจวบคีรีขันธ์!L446"")"),0)</f>
        <v>0</v>
      </c>
      <c r="M551" s="412"/>
      <c r="N551" s="412">
        <f ca="1">IFERROR(__xludf.DUMMYFUNCTION("IMPORTRANGE(""https://docs.google.com/spreadsheets/d/1SX6NBoVAgQJ6U1MVXOaj8PK2l7WJ3RER9xtqwdhxkhw/edit?usp=sharing"",""ประจวบคีรีขันธ์!M446"")"),0)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IFERROR(__xludf.DUMMYFUNCTION("IMPORTRANGE(""https://docs.google.com/spreadsheets/d/1SX6NBoVAgQJ6U1MVXOaj8PK2l7WJ3RER9xtqwdhxkhw/edit?usp=sharing"",""ประจวบคีรีขันธ์!L447"")"),0)</f>
        <v>0</v>
      </c>
      <c r="M552" s="164"/>
      <c r="N552" s="169">
        <f ca="1">IFERROR(__xludf.DUMMYFUNCTION("IMPORTRANGE(""https://docs.google.com/spreadsheets/d/1SX6NBoVAgQJ6U1MVXOaj8PK2l7WJ3RER9xtqwdhxkhw/edit?usp=sharing"",""ประจวบคีรีขันธ์!M447"")"),0)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IFERROR(__xludf.DUMMYFUNCTION("IMPORTRANGE(""https://docs.google.com/spreadsheets/d/1SX6NBoVAgQJ6U1MVXOaj8PK2l7WJ3RER9xtqwdhxkhw/edit?usp=sharing"",""ประจวบคีรีขันธ์!L448"")"),0)</f>
        <v>0</v>
      </c>
      <c r="M553" s="165"/>
      <c r="N553" s="169">
        <f ca="1">IFERROR(__xludf.DUMMYFUNCTION("IMPORTRANGE(""https://docs.google.com/spreadsheets/d/1SX6NBoVAgQJ6U1MVXOaj8PK2l7WJ3RER9xtqwdhxkhw/edit?usp=sharing"",""ประจวบคีรีขันธ์!M448"")"),0)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IFERROR(__xludf.DUMMYFUNCTION("IMPORTRANGE(""https://docs.google.com/spreadsheets/d/1SX6NBoVAgQJ6U1MVXOaj8PK2l7WJ3RER9xtqwdhxkhw/edit?usp=sharing"",""ประจวบคีรีขันธ์!L449"")"),0)</f>
        <v>0</v>
      </c>
      <c r="M554" s="169"/>
      <c r="N554" s="169">
        <f ca="1">IFERROR(__xludf.DUMMYFUNCTION("IMPORTRANGE(""https://docs.google.com/spreadsheets/d/1SX6NBoVAgQJ6U1MVXOaj8PK2l7WJ3RER9xtqwdhxkhw/edit?usp=sharing"",""ประจวบคีรีขันธ์!M449"")"),0)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IFERROR(__xludf.DUMMYFUNCTION("IMPORTRANGE(""https://docs.google.com/spreadsheets/d/1SX6NBoVAgQJ6U1MVXOaj8PK2l7WJ3RER9xtqwdhxkhw/edit?usp=sharing"",""ประจวบคีรีขันธ์!L450"")"),0)</f>
        <v>0</v>
      </c>
      <c r="M555" s="169"/>
      <c r="N555" s="169">
        <f ca="1">IFERROR(__xludf.DUMMYFUNCTION("IMPORTRANGE(""https://docs.google.com/spreadsheets/d/1SX6NBoVAgQJ6U1MVXOaj8PK2l7WJ3RER9xtqwdhxkhw/edit?usp=sharing"",""ประจวบคีรีขันธ์!M450"")"),0)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IFERROR(__xludf.DUMMYFUNCTION("IMPORTRANGE(""https://docs.google.com/spreadsheets/d/1SX6NBoVAgQJ6U1MVXOaj8PK2l7WJ3RER9xtqwdhxkhw/edit?usp=sharing"",""ประจวบคีรีขันธ์!M451"")"),0)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IFERROR(__xludf.DUMMYFUNCTION("IMPORTRANGE(""https://docs.google.com/spreadsheets/d/1SX6NBoVAgQJ6U1MVXOaj8PK2l7WJ3RER9xtqwdhxkhw/edit?usp=sharing"",""ประจวบคีรีขันธ์!M452"")"),0)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IFERROR(__xludf.DUMMYFUNCTION("IMPORTRANGE(""https://docs.google.com/spreadsheets/d/1SX6NBoVAgQJ6U1MVXOaj8PK2l7WJ3RER9xtqwdhxkhw/edit?usp=sharing"",""ประจวบคีรีขันธ์!M453"")"),0)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IFERROR(__xludf.DUMMYFUNCTION("IMPORTRANGE(""https://docs.google.com/spreadsheets/d/1SX6NBoVAgQJ6U1MVXOaj8PK2l7WJ3RER9xtqwdhxkhw/edit?usp=sharing"",""ประจวบคีรีขันธ์!M454"")"),0)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IFERROR(__xludf.DUMMYFUNCTION("IMPORTRANGE(""https://docs.google.com/spreadsheets/d/1SX6NBoVAgQJ6U1MVXOaj8PK2l7WJ3RER9xtqwdhxkhw/edit?usp=sharing"",""ประจวบคีรีขันธ์!I455"")"),0)</f>
        <v>0</v>
      </c>
      <c r="J560" s="162">
        <f ca="1">IFERROR(__xludf.DUMMYFUNCTION("IMPORTRANGE(""https://docs.google.com/spreadsheets/d/1SX6NBoVAgQJ6U1MVXOaj8PK2l7WJ3RER9xtqwdhxkhw/edit?usp=sharing"",""ประจวบคีรีขันธ์!J455"")"),0)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IFERROR(__xludf.DUMMYFUNCTION("IMPORTRANGE(""https://docs.google.com/spreadsheets/d/1SX6NBoVAgQJ6U1MVXOaj8PK2l7WJ3RER9xtqwdhxkhw/edit?usp=sharing"",""ประจวบคีรีขันธ์!I456"")"),0)</f>
        <v>0</v>
      </c>
      <c r="J561" s="204">
        <f ca="1">IFERROR(__xludf.DUMMYFUNCTION("IMPORTRANGE(""https://docs.google.com/spreadsheets/d/1SX6NBoVAgQJ6U1MVXOaj8PK2l7WJ3RER9xtqwdhxkhw/edit?usp=sharing"",""ประจวบคีรีขันธ์!J456"")"),0)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IFERROR(__xludf.DUMMYFUNCTION("IMPORTRANGE(""https://docs.google.com/spreadsheets/d/1SX6NBoVAgQJ6U1MVXOaj8PK2l7WJ3RER9xtqwdhxkhw/edit?usp=sharing"",""ประจวบคีรีขันธ์!I459"")"),700)</f>
        <v>700</v>
      </c>
      <c r="J564" s="371">
        <f ca="1">IFERROR(__xludf.DUMMYFUNCTION("IMPORTRANGE(""https://docs.google.com/spreadsheets/d/1SX6NBoVAgQJ6U1MVXOaj8PK2l7WJ3RER9xtqwdhxkhw/edit?usp=sharing"",""ประจวบคีรีขันธ์!J459"")"),793)</f>
        <v>793</v>
      </c>
      <c r="K564" s="372">
        <f ca="1">IF(I564&gt;0,J564*100/I564,0)</f>
        <v>113.28571428571429</v>
      </c>
      <c r="L564" s="373">
        <f ca="1">IFERROR(__xludf.DUMMYFUNCTION("IMPORTRANGE(""https://docs.google.com/spreadsheets/d/1SX6NBoVAgQJ6U1MVXOaj8PK2l7WJ3RER9xtqwdhxkhw/edit?usp=sharing"",""ประจวบคีรีขันธ์!L459"")"),121520)</f>
        <v>121520</v>
      </c>
      <c r="M564" s="373"/>
      <c r="N564" s="373">
        <f ca="1">IFERROR(__xludf.DUMMYFUNCTION("IMPORTRANGE(""https://docs.google.com/spreadsheets/d/1SX6NBoVAgQJ6U1MVXOaj8PK2l7WJ3RER9xtqwdhxkhw/edit?usp=sharing"",""ประจวบคีรีขันธ์!M459"")"),56327.89)</f>
        <v>56327.89</v>
      </c>
      <c r="O564" s="373">
        <f t="shared" ref="O564:O568" ca="1" si="122">+IF(L564&gt;0,N564*100/L564,0)</f>
        <v>46.352773206056618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IFERROR(__xludf.DUMMYFUNCTION("IMPORTRANGE(""https://docs.google.com/spreadsheets/d/1SX6NBoVAgQJ6U1MVXOaj8PK2l7WJ3RER9xtqwdhxkhw/edit?usp=sharing"",""ประจวบคีรีขันธ์!L460"")"),0)</f>
        <v>0</v>
      </c>
      <c r="M565" s="164"/>
      <c r="N565" s="169">
        <f ca="1">IFERROR(__xludf.DUMMYFUNCTION("IMPORTRANGE(""https://docs.google.com/spreadsheets/d/1SX6NBoVAgQJ6U1MVXOaj8PK2l7WJ3RER9xtqwdhxkhw/edit?usp=sharing"",""ประจวบคีรีขันธ์!M460"")"),0)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IFERROR(__xludf.DUMMYFUNCTION("IMPORTRANGE(""https://docs.google.com/spreadsheets/d/1SX6NBoVAgQJ6U1MVXOaj8PK2l7WJ3RER9xtqwdhxkhw/edit?usp=sharing"",""ประจวบคีรีขันธ์!L461"")"),121520)</f>
        <v>121520</v>
      </c>
      <c r="M566" s="165"/>
      <c r="N566" s="169">
        <f ca="1">IFERROR(__xludf.DUMMYFUNCTION("IMPORTRANGE(""https://docs.google.com/spreadsheets/d/1SX6NBoVAgQJ6U1MVXOaj8PK2l7WJ3RER9xtqwdhxkhw/edit?usp=sharing"",""ประจวบคีรีขันธ์!M461"")"),56327.89)</f>
        <v>56327.89</v>
      </c>
      <c r="O566" s="169">
        <f t="shared" ca="1" si="122"/>
        <v>46.352773206056618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IFERROR(__xludf.DUMMYFUNCTION("IMPORTRANGE(""https://docs.google.com/spreadsheets/d/1SX6NBoVAgQJ6U1MVXOaj8PK2l7WJ3RER9xtqwdhxkhw/edit?usp=sharing"",""ประจวบคีรีขันธ์!L462"")"),0)</f>
        <v>0</v>
      </c>
      <c r="M567" s="169"/>
      <c r="N567" s="169">
        <f ca="1">IFERROR(__xludf.DUMMYFUNCTION("IMPORTRANGE(""https://docs.google.com/spreadsheets/d/1SX6NBoVAgQJ6U1MVXOaj8PK2l7WJ3RER9xtqwdhxkhw/edit?usp=sharing"",""ประจวบคีรีขันธ์!M462"")"),0)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IFERROR(__xludf.DUMMYFUNCTION("IMPORTRANGE(""https://docs.google.com/spreadsheets/d/1SX6NBoVAgQJ6U1MVXOaj8PK2l7WJ3RER9xtqwdhxkhw/edit?usp=sharing"",""ประจวบคีรีขันธ์!L463"")"),121520)</f>
        <v>121520</v>
      </c>
      <c r="M568" s="169"/>
      <c r="N568" s="169">
        <f ca="1">IFERROR(__xludf.DUMMYFUNCTION("IMPORTRANGE(""https://docs.google.com/spreadsheets/d/1SX6NBoVAgQJ6U1MVXOaj8PK2l7WJ3RER9xtqwdhxkhw/edit?usp=sharing"",""ประจวบคีรีขันธ์!M463"")"),56327.89)</f>
        <v>56327.89</v>
      </c>
      <c r="O568" s="169">
        <f t="shared" ca="1" si="122"/>
        <v>46.352773206056618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IFERROR(__xludf.DUMMYFUNCTION("IMPORTRANGE(""https://docs.google.com/spreadsheets/d/1SX6NBoVAgQJ6U1MVXOaj8PK2l7WJ3RER9xtqwdhxkhw/edit?usp=sharing"",""ประจวบคีรีขันธ์!M464"")"),0)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IFERROR(__xludf.DUMMYFUNCTION("IMPORTRANGE(""https://docs.google.com/spreadsheets/d/1SX6NBoVAgQJ6U1MVXOaj8PK2l7WJ3RER9xtqwdhxkhw/edit?usp=sharing"",""ประจวบคีรีขันธ์!M465"")"),0)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IFERROR(__xludf.DUMMYFUNCTION("IMPORTRANGE(""https://docs.google.com/spreadsheets/d/1SX6NBoVAgQJ6U1MVXOaj8PK2l7WJ3RER9xtqwdhxkhw/edit?usp=sharing"",""ประจวบคีรีขันธ์!M466"")"),48967.89)</f>
        <v>48967.89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IFERROR(__xludf.DUMMYFUNCTION("IMPORTRANGE(""https://docs.google.com/spreadsheets/d/1SX6NBoVAgQJ6U1MVXOaj8PK2l7WJ3RER9xtqwdhxkhw/edit?usp=sharing"",""ประจวบคีรีขันธ์!M467"")"),7360)</f>
        <v>7360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IFERROR(__xludf.DUMMYFUNCTION("IMPORTRANGE(""https://docs.google.com/spreadsheets/d/1SX6NBoVAgQJ6U1MVXOaj8PK2l7WJ3RER9xtqwdhxkhw/edit?usp=sharing"",""ประจวบคีรีขันธ์!I468"")"),700)</f>
        <v>700</v>
      </c>
      <c r="J573" s="420">
        <f ca="1">IFERROR(__xludf.DUMMYFUNCTION("IMPORTRANGE(""https://docs.google.com/spreadsheets/d/1SX6NBoVAgQJ6U1MVXOaj8PK2l7WJ3RER9xtqwdhxkhw/edit?usp=sharing"",""ประจวบคีรีขันธ์!J468"")"),793)</f>
        <v>793</v>
      </c>
      <c r="K573" s="202">
        <f ca="1">IF(I573&gt;0,J573*100/I573,0)</f>
        <v>113.28571428571429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IFERROR(__xludf.DUMMYFUNCTION("IMPORTRANGE(""https://docs.google.com/spreadsheets/d/1SX6NBoVAgQJ6U1MVXOaj8PK2l7WJ3RER9xtqwdhxkhw/edit?usp=sharing"",""ประจวบคีรีขันธ์!I470"")"),0)</f>
        <v>0</v>
      </c>
      <c r="J575" s="198">
        <f ca="1">IFERROR(__xludf.DUMMYFUNCTION("IMPORTRANGE(""https://docs.google.com/spreadsheets/d/1SX6NBoVAgQJ6U1MVXOaj8PK2l7WJ3RER9xtqwdhxkhw/edit?usp=sharing"",""ประจวบคีรีขันธ์!J470"")"),1)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IFERROR(__xludf.DUMMYFUNCTION("IMPORTRANGE(""https://docs.google.com/spreadsheets/d/1SX6NBoVAgQJ6U1MVXOaj8PK2l7WJ3RER9xtqwdhxkhw/edit?usp=sharing"",""ประจวบคีรีขันธ์!I471"")"),0)</f>
        <v>0</v>
      </c>
      <c r="J576" s="198">
        <f ca="1">IFERROR(__xludf.DUMMYFUNCTION("IMPORTRANGE(""https://docs.google.com/spreadsheets/d/1SX6NBoVAgQJ6U1MVXOaj8PK2l7WJ3RER9xtqwdhxkhw/edit?usp=sharing"",""ประจวบคีรีขันธ์!J471"")"),23)</f>
        <v>23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IFERROR(__xludf.DUMMYFUNCTION("IMPORTRANGE(""https://docs.google.com/spreadsheets/d/1SX6NBoVAgQJ6U1MVXOaj8PK2l7WJ3RER9xtqwdhxkhw/edit?usp=sharing"",""ประจวบคีรีขันธ์!I472"")"),0)</f>
        <v>0</v>
      </c>
      <c r="J577" s="189">
        <f ca="1">IFERROR(__xludf.DUMMYFUNCTION("IMPORTRANGE(""https://docs.google.com/spreadsheets/d/1SX6NBoVAgQJ6U1MVXOaj8PK2l7WJ3RER9xtqwdhxkhw/edit?usp=sharing"",""ประจวบคีรีขันธ์!J472"")"),770)</f>
        <v>770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IFERROR(__xludf.DUMMYFUNCTION("IMPORTRANGE(""https://docs.google.com/spreadsheets/d/1SX6NBoVAgQJ6U1MVXOaj8PK2l7WJ3RER9xtqwdhxkhw/edit?usp=sharing"",""ประจวบคีรีขันธ์!I473"")"),0)</f>
        <v>0</v>
      </c>
      <c r="J578" s="198">
        <f ca="1">IFERROR(__xludf.DUMMYFUNCTION("IMPORTRANGE(""https://docs.google.com/spreadsheets/d/1SX6NBoVAgQJ6U1MVXOaj8PK2l7WJ3RER9xtqwdhxkhw/edit?usp=sharing"",""ประจวบคีรีขันธ์!J473"")"),0)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IFERROR(__xludf.DUMMYFUNCTION("IMPORTRANGE(""https://docs.google.com/spreadsheets/d/1SX6NBoVAgQJ6U1MVXOaj8PK2l7WJ3RER9xtqwdhxkhw/edit?usp=sharing"",""ประจวบคีรีขันธ์!I474"")"),0)</f>
        <v>0</v>
      </c>
      <c r="J579" s="198">
        <f ca="1">IFERROR(__xludf.DUMMYFUNCTION("IMPORTRANGE(""https://docs.google.com/spreadsheets/d/1SX6NBoVAgQJ6U1MVXOaj8PK2l7WJ3RER9xtqwdhxkhw/edit?usp=sharing"",""ประจวบคีรีขันธ์!J474"")"),0)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IFERROR(__xludf.DUMMYFUNCTION("IMPORTRANGE(""https://docs.google.com/spreadsheets/d/1SX6NBoVAgQJ6U1MVXOaj8PK2l7WJ3RER9xtqwdhxkhw/edit?usp=sharing"",""ประจวบคีรีขันธ์!I475"")"),0)</f>
        <v>0</v>
      </c>
      <c r="J580" s="371">
        <f ca="1">IFERROR(__xludf.DUMMYFUNCTION("IMPORTRANGE(""https://docs.google.com/spreadsheets/d/1SX6NBoVAgQJ6U1MVXOaj8PK2l7WJ3RER9xtqwdhxkhw/edit?usp=sharing"",""ประจวบคีรีขันธ์!J475"")"),4)</f>
        <v>4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IFERROR(__xludf.DUMMYFUNCTION("IMPORTRANGE(""https://docs.google.com/spreadsheets/d/1SX6NBoVAgQJ6U1MVXOaj8PK2l7WJ3RER9xtqwdhxkhw/edit?usp=sharing"",""ประจวบคีรีขันธ์!L475"")"),0)</f>
        <v>0</v>
      </c>
      <c r="M580" s="373"/>
      <c r="N580" s="373">
        <f ca="1">IFERROR(__xludf.DUMMYFUNCTION("IMPORTRANGE(""https://docs.google.com/spreadsheets/d/1SX6NBoVAgQJ6U1MVXOaj8PK2l7WJ3RER9xtqwdhxkhw/edit?usp=sharing"",""ประจวบคีรีขันธ์!M475"")"),0)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IFERROR(__xludf.DUMMYFUNCTION("IMPORTRANGE(""https://docs.google.com/spreadsheets/d/1SX6NBoVAgQJ6U1MVXOaj8PK2l7WJ3RER9xtqwdhxkhw/edit?usp=sharing"",""ประจวบคีรีขันธ์!L476"")"),0)</f>
        <v>0</v>
      </c>
      <c r="M581" s="164"/>
      <c r="N581" s="169">
        <f ca="1">IFERROR(__xludf.DUMMYFUNCTION("IMPORTRANGE(""https://docs.google.com/spreadsheets/d/1SX6NBoVAgQJ6U1MVXOaj8PK2l7WJ3RER9xtqwdhxkhw/edit?usp=sharing"",""ประจวบคีรีขันธ์!M476"")"),0)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IFERROR(__xludf.DUMMYFUNCTION("IMPORTRANGE(""https://docs.google.com/spreadsheets/d/1SX6NBoVAgQJ6U1MVXOaj8PK2l7WJ3RER9xtqwdhxkhw/edit?usp=sharing"",""ประจวบคีรีขันธ์!L477"")"),0)</f>
        <v>0</v>
      </c>
      <c r="M582" s="165"/>
      <c r="N582" s="169">
        <f ca="1">IFERROR(__xludf.DUMMYFUNCTION("IMPORTRANGE(""https://docs.google.com/spreadsheets/d/1SX6NBoVAgQJ6U1MVXOaj8PK2l7WJ3RER9xtqwdhxkhw/edit?usp=sharing"",""ประจวบคีรีขันธ์!M477"")"),0)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IFERROR(__xludf.DUMMYFUNCTION("IMPORTRANGE(""https://docs.google.com/spreadsheets/d/1SX6NBoVAgQJ6U1MVXOaj8PK2l7WJ3RER9xtqwdhxkhw/edit?usp=sharing"",""ประจวบคีรีขันธ์!L478"")"),0)</f>
        <v>0</v>
      </c>
      <c r="M583" s="169"/>
      <c r="N583" s="169">
        <f ca="1">IFERROR(__xludf.DUMMYFUNCTION("IMPORTRANGE(""https://docs.google.com/spreadsheets/d/1SX6NBoVAgQJ6U1MVXOaj8PK2l7WJ3RER9xtqwdhxkhw/edit?usp=sharing"",""ประจวบคีรีขันธ์!M478"")"),0)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IFERROR(__xludf.DUMMYFUNCTION("IMPORTRANGE(""https://docs.google.com/spreadsheets/d/1SX6NBoVAgQJ6U1MVXOaj8PK2l7WJ3RER9xtqwdhxkhw/edit?usp=sharing"",""ประจวบคีรีขันธ์!L479"")"),0)</f>
        <v>0</v>
      </c>
      <c r="M584" s="169"/>
      <c r="N584" s="169">
        <f ca="1">IFERROR(__xludf.DUMMYFUNCTION("IMPORTRANGE(""https://docs.google.com/spreadsheets/d/1SX6NBoVAgQJ6U1MVXOaj8PK2l7WJ3RER9xtqwdhxkhw/edit?usp=sharing"",""ประจวบคีรีขันธ์!M479"")"),0)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IFERROR(__xludf.DUMMYFUNCTION("IMPORTRANGE(""https://docs.google.com/spreadsheets/d/1SX6NBoVAgQJ6U1MVXOaj8PK2l7WJ3RER9xtqwdhxkhw/edit?usp=sharing"",""ประจวบคีรีขันธ์!M480"")"),0)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IFERROR(__xludf.DUMMYFUNCTION("IMPORTRANGE(""https://docs.google.com/spreadsheets/d/1SX6NBoVAgQJ6U1MVXOaj8PK2l7WJ3RER9xtqwdhxkhw/edit?usp=sharing"",""ประจวบคีรีขันธ์!M481"")"),0)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IFERROR(__xludf.DUMMYFUNCTION("IMPORTRANGE(""https://docs.google.com/spreadsheets/d/1SX6NBoVAgQJ6U1MVXOaj8PK2l7WJ3RER9xtqwdhxkhw/edit?usp=sharing"",""ประจวบคีรีขันธ์!M482"")"),0)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IFERROR(__xludf.DUMMYFUNCTION("IMPORTRANGE(""https://docs.google.com/spreadsheets/d/1SX6NBoVAgQJ6U1MVXOaj8PK2l7WJ3RER9xtqwdhxkhw/edit?usp=sharing"",""ประจวบคีรีขันธ์!M483"")"),0)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IFERROR(__xludf.DUMMYFUNCTION("IMPORTRANGE(""https://docs.google.com/spreadsheets/d/1SX6NBoVAgQJ6U1MVXOaj8PK2l7WJ3RER9xtqwdhxkhw/edit?usp=sharing"",""ประจวบคีรีขันธ์!I484"")"),0)</f>
        <v>0</v>
      </c>
      <c r="J589" s="188">
        <f ca="1">IFERROR(__xludf.DUMMYFUNCTION("IMPORTRANGE(""https://docs.google.com/spreadsheets/d/1SX6NBoVAgQJ6U1MVXOaj8PK2l7WJ3RER9xtqwdhxkhw/edit?usp=sharing"",""ประจวบคีรีขันธ์!J484"")"),54)</f>
        <v>54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IFERROR(__xludf.DUMMYFUNCTION("IMPORTRANGE(""https://docs.google.com/spreadsheets/d/1SX6NBoVAgQJ6U1MVXOaj8PK2l7WJ3RER9xtqwdhxkhw/edit?usp=sharing"",""ประจวบคีรีขันธ์!I485"")"),0)</f>
        <v>0</v>
      </c>
      <c r="J590" s="188">
        <f ca="1">IFERROR(__xludf.DUMMYFUNCTION("IMPORTRANGE(""https://docs.google.com/spreadsheets/d/1SX6NBoVAgQJ6U1MVXOaj8PK2l7WJ3RER9xtqwdhxkhw/edit?usp=sharing"",""ประจวบคีรีขันธ์!J485"")"),8.21)</f>
        <v>8.2100000000000009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IFERROR(__xludf.DUMMYFUNCTION("IMPORTRANGE(""https://docs.google.com/spreadsheets/d/1SX6NBoVAgQJ6U1MVXOaj8PK2l7WJ3RER9xtqwdhxkhw/edit?usp=sharing"",""ประจวบคีรีขันธ์!I486"")"),0)</f>
        <v>0</v>
      </c>
      <c r="J591" s="188">
        <f ca="1">IFERROR(__xludf.DUMMYFUNCTION("IMPORTRANGE(""https://docs.google.com/spreadsheets/d/1SX6NBoVAgQJ6U1MVXOaj8PK2l7WJ3RER9xtqwdhxkhw/edit?usp=sharing"",""ประจวบคีรีขันธ์!J486"")"),59)</f>
        <v>59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IFERROR(__xludf.DUMMYFUNCTION("IMPORTRANGE(""https://docs.google.com/spreadsheets/d/1SX6NBoVAgQJ6U1MVXOaj8PK2l7WJ3RER9xtqwdhxkhw/edit?usp=sharing"",""ประจวบคีรีขันธ์!I487"")"),0)</f>
        <v>0</v>
      </c>
      <c r="J592" s="188">
        <f ca="1">IFERROR(__xludf.DUMMYFUNCTION("IMPORTRANGE(""https://docs.google.com/spreadsheets/d/1SX6NBoVAgQJ6U1MVXOaj8PK2l7WJ3RER9xtqwdhxkhw/edit?usp=sharing"",""ประจวบคีรีขันธ์!J487"")"),9.23)</f>
        <v>9.23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IFERROR(__xludf.DUMMYFUNCTION("IMPORTRANGE(""https://docs.google.com/spreadsheets/d/1SX6NBoVAgQJ6U1MVXOaj8PK2l7WJ3RER9xtqwdhxkhw/edit?usp=sharing"",""ประจวบคีรีขันธ์!I488"")"),0)</f>
        <v>0</v>
      </c>
      <c r="J593" s="188">
        <f ca="1">IFERROR(__xludf.DUMMYFUNCTION("IMPORTRANGE(""https://docs.google.com/spreadsheets/d/1SX6NBoVAgQJ6U1MVXOaj8PK2l7WJ3RER9xtqwdhxkhw/edit?usp=sharing"",""ประจวบคีรีขันธ์!J488"")"),0)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IFERROR(__xludf.DUMMYFUNCTION("IMPORTRANGE(""https://docs.google.com/spreadsheets/d/1SX6NBoVAgQJ6U1MVXOaj8PK2l7WJ3RER9xtqwdhxkhw/edit?usp=sharing"",""ประจวบคีรีขันธ์!I489"")"),0)</f>
        <v>0</v>
      </c>
      <c r="J594" s="188">
        <f ca="1">IFERROR(__xludf.DUMMYFUNCTION("IMPORTRANGE(""https://docs.google.com/spreadsheets/d/1SX6NBoVAgQJ6U1MVXOaj8PK2l7WJ3RER9xtqwdhxkhw/edit?usp=sharing"",""ประจวบคีรีขันธ์!J489"")"),0)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IFERROR(__xludf.DUMMYFUNCTION("IMPORTRANGE(""https://docs.google.com/spreadsheets/d/1SX6NBoVAgQJ6U1MVXOaj8PK2l7WJ3RER9xtqwdhxkhw/edit?usp=sharing"",""ประจวบคีรีขันธ์!I490"")"),0)</f>
        <v>0</v>
      </c>
      <c r="J595" s="188">
        <f ca="1">IFERROR(__xludf.DUMMYFUNCTION("IMPORTRANGE(""https://docs.google.com/spreadsheets/d/1SX6NBoVAgQJ6U1MVXOaj8PK2l7WJ3RER9xtqwdhxkhw/edit?usp=sharing"",""ประจวบคีรีขันธ์!J490"")"),4)</f>
        <v>4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IFERROR(__xludf.DUMMYFUNCTION("IMPORTRANGE(""https://docs.google.com/spreadsheets/d/1SX6NBoVAgQJ6U1MVXOaj8PK2l7WJ3RER9xtqwdhxkhw/edit?usp=sharing"",""ประจวบคีรีขันธ์!I491"")"),0)</f>
        <v>0</v>
      </c>
      <c r="J596" s="241">
        <f ca="1">IFERROR(__xludf.DUMMYFUNCTION("IMPORTRANGE(""https://docs.google.com/spreadsheets/d/1SX6NBoVAgQJ6U1MVXOaj8PK2l7WJ3RER9xtqwdhxkhw/edit?usp=sharing"",""ประจวบคีรีขันธ์!J491"")"),0.65)</f>
        <v>0.65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IFERROR(__xludf.DUMMYFUNCTION("IMPORTRANGE(""https://docs.google.com/spreadsheets/d/1SX6NBoVAgQJ6U1MVXOaj8PK2l7WJ3RER9xtqwdhxkhw/edit?usp=sharing"",""ประจวบคีรีขันธ์!I492"")"),50)</f>
        <v>50</v>
      </c>
      <c r="J597" s="487">
        <f ca="1">IFERROR(__xludf.DUMMYFUNCTION("IMPORTRANGE(""https://docs.google.com/spreadsheets/d/1SX6NBoVAgQJ6U1MVXOaj8PK2l7WJ3RER9xtqwdhxkhw/edit?usp=sharing"",""ประจวบคีรีขันธ์!J492"")"),0)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IFERROR(__xludf.DUMMYFUNCTION("IMPORTRANGE(""https://docs.google.com/spreadsheets/d/1SX6NBoVAgQJ6U1MVXOaj8PK2l7WJ3RER9xtqwdhxkhw/edit?usp=sharing"",""ประจวบคีรีขันธ์!L492"")"),6950)</f>
        <v>6950</v>
      </c>
      <c r="M597" s="412"/>
      <c r="N597" s="412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O597" s="412">
        <f t="shared" ref="O597:O601" ca="1" si="126">+IF(L597&gt;0,N597*100/L597,0)</f>
        <v>42.158273381294961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IFERROR(__xludf.DUMMYFUNCTION("IMPORTRANGE(""https://docs.google.com/spreadsheets/d/1SX6NBoVAgQJ6U1MVXOaj8PK2l7WJ3RER9xtqwdhxkhw/edit?usp=sharing"",""ประจวบคีรีขันธ์!L493"")"),0)</f>
        <v>0</v>
      </c>
      <c r="M598" s="164"/>
      <c r="N598" s="169">
        <f ca="1">IFERROR(__xludf.DUMMYFUNCTION("IMPORTRANGE(""https://docs.google.com/spreadsheets/d/1SX6NBoVAgQJ6U1MVXOaj8PK2l7WJ3RER9xtqwdhxkhw/edit?usp=sharing"",""ประจวบคีรีขันธ์!M493"")"),0)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IFERROR(__xludf.DUMMYFUNCTION("IMPORTRANGE(""https://docs.google.com/spreadsheets/d/1SX6NBoVAgQJ6U1MVXOaj8PK2l7WJ3RER9xtqwdhxkhw/edit?usp=sharing"",""ประจวบคีรีขันธ์!L494"")"),6950)</f>
        <v>6950</v>
      </c>
      <c r="M599" s="165"/>
      <c r="N599" s="169">
        <f ca="1">IFERROR(__xludf.DUMMYFUNCTION("IMPORTRANGE(""https://docs.google.com/spreadsheets/d/1SX6NBoVAgQJ6U1MVXOaj8PK2l7WJ3RER9xtqwdhxkhw/edit?usp=sharing"",""ประจวบคีรีขันธ์!M494"")"),2930)</f>
        <v>2930</v>
      </c>
      <c r="O599" s="169">
        <f t="shared" ca="1" si="126"/>
        <v>42.158273381294961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IFERROR(__xludf.DUMMYFUNCTION("IMPORTRANGE(""https://docs.google.com/spreadsheets/d/1SX6NBoVAgQJ6U1MVXOaj8PK2l7WJ3RER9xtqwdhxkhw/edit?usp=sharing"",""ประจวบคีรีขันธ์!L495"")"),0)</f>
        <v>0</v>
      </c>
      <c r="M600" s="169"/>
      <c r="N600" s="169">
        <f ca="1">IFERROR(__xludf.DUMMYFUNCTION("IMPORTRANGE(""https://docs.google.com/spreadsheets/d/1SX6NBoVAgQJ6U1MVXOaj8PK2l7WJ3RER9xtqwdhxkhw/edit?usp=sharing"",""ประจวบคีรีขันธ์!M495"")"),0)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IFERROR(__xludf.DUMMYFUNCTION("IMPORTRANGE(""https://docs.google.com/spreadsheets/d/1SX6NBoVAgQJ6U1MVXOaj8PK2l7WJ3RER9xtqwdhxkhw/edit?usp=sharing"",""ประจวบคีรีขันธ์!L496"")"),6950)</f>
        <v>6950</v>
      </c>
      <c r="M601" s="169"/>
      <c r="N601" s="169">
        <f ca="1">IFERROR(__xludf.DUMMYFUNCTION("IMPORTRANGE(""https://docs.google.com/spreadsheets/d/1SX6NBoVAgQJ6U1MVXOaj8PK2l7WJ3RER9xtqwdhxkhw/edit?usp=sharing"",""ประจวบคีรีขันธ์!M496"")"),2930)</f>
        <v>2930</v>
      </c>
      <c r="O601" s="169">
        <f t="shared" ca="1" si="126"/>
        <v>42.158273381294961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IFERROR(__xludf.DUMMYFUNCTION("IMPORTRANGE(""https://docs.google.com/spreadsheets/d/1SX6NBoVAgQJ6U1MVXOaj8PK2l7WJ3RER9xtqwdhxkhw/edit?usp=sharing"",""ประจวบคีรีขันธ์!M497"")"),0)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IFERROR(__xludf.DUMMYFUNCTION("IMPORTRANGE(""https://docs.google.com/spreadsheets/d/1SX6NBoVAgQJ6U1MVXOaj8PK2l7WJ3RER9xtqwdhxkhw/edit?usp=sharing"",""ประจวบคีรีขันธ์!M498"")"),0)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IFERROR(__xludf.DUMMYFUNCTION("IMPORTRANGE(""https://docs.google.com/spreadsheets/d/1SX6NBoVAgQJ6U1MVXOaj8PK2l7WJ3RER9xtqwdhxkhw/edit?usp=sharing"",""ประจวบคีรีขันธ์!M499"")"),0)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IFERROR(__xludf.DUMMYFUNCTION("IMPORTRANGE(""https://docs.google.com/spreadsheets/d/1SX6NBoVAgQJ6U1MVXOaj8PK2l7WJ3RER9xtqwdhxkhw/edit?usp=sharing"",""ประจวบคีรีขันธ์!M500"")"),2930)</f>
        <v>2930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IFERROR(__xludf.DUMMYFUNCTION("IMPORTRANGE(""https://docs.google.com/spreadsheets/d/1SX6NBoVAgQJ6U1MVXOaj8PK2l7WJ3RER9xtqwdhxkhw/edit?usp=sharing"",""ประจวบคีรีขันธ์!J502"")"),0)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IFERROR(__xludf.DUMMYFUNCTION("IMPORTRANGE(""https://docs.google.com/spreadsheets/d/1SX6NBoVAgQJ6U1MVXOaj8PK2l7WJ3RER9xtqwdhxkhw/edit?usp=sharing"",""ประจวบคีรีขันธ์!J503"")"),1)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IFERROR(__xludf.DUMMYFUNCTION("IMPORTRANGE(""https://docs.google.com/spreadsheets/d/1SX6NBoVAgQJ6U1MVXOaj8PK2l7WJ3RER9xtqwdhxkhw/edit?usp=sharing"",""ประจวบคีรีขันธ์!I506"")"),50)</f>
        <v>50</v>
      </c>
      <c r="J611" s="162">
        <f ca="1">IFERROR(__xludf.DUMMYFUNCTION("IMPORTRANGE(""https://docs.google.com/spreadsheets/d/1SX6NBoVAgQJ6U1MVXOaj8PK2l7WJ3RER9xtqwdhxkhw/edit?usp=sharing"",""ประจวบคีรีขันธ์!J506"")"),0)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IFERROR(__xludf.DUMMYFUNCTION("IMPORTRANGE(""https://docs.google.com/spreadsheets/d/1SX6NBoVAgQJ6U1MVXOaj8PK2l7WJ3RER9xtqwdhxkhw/edit?usp=sharing"",""ประจวบคีรีขันธ์!I507"")"),0)</f>
        <v>0</v>
      </c>
      <c r="J612" s="198">
        <f ca="1">IFERROR(__xludf.DUMMYFUNCTION("IMPORTRANGE(""https://docs.google.com/spreadsheets/d/1SX6NBoVAgQJ6U1MVXOaj8PK2l7WJ3RER9xtqwdhxkhw/edit?usp=sharing"",""ประจวบคีรีขันธ์!J507"")"),15)</f>
        <v>15</v>
      </c>
      <c r="K612" s="163">
        <f t="shared" ca="1" si="127"/>
        <v>30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IFERROR(__xludf.DUMMYFUNCTION("IMPORTRANGE(""https://docs.google.com/spreadsheets/d/1SX6NBoVAgQJ6U1MVXOaj8PK2l7WJ3RER9xtqwdhxkhw/edit?usp=sharing"",""ประจวบคีรีขันธ์!I508"")"),0)</f>
        <v>0</v>
      </c>
      <c r="J613" s="198">
        <f ca="1">IFERROR(__xludf.DUMMYFUNCTION("IMPORTRANGE(""https://docs.google.com/spreadsheets/d/1SX6NBoVAgQJ6U1MVXOaj8PK2l7WJ3RER9xtqwdhxkhw/edit?usp=sharing"",""ประจวบคีรีขันธ์!J508"")"),15)</f>
        <v>15</v>
      </c>
      <c r="K613" s="163">
        <f t="shared" ca="1" si="127"/>
        <v>30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IFERROR(__xludf.DUMMYFUNCTION("IMPORTRANGE(""https://docs.google.com/spreadsheets/d/1SX6NBoVAgQJ6U1MVXOaj8PK2l7WJ3RER9xtqwdhxkhw/edit?usp=sharing"",""ประจวบคีรีขันธ์!I509"")"),0)</f>
        <v>0</v>
      </c>
      <c r="J614" s="198">
        <f ca="1">IFERROR(__xludf.DUMMYFUNCTION("IMPORTRANGE(""https://docs.google.com/spreadsheets/d/1SX6NBoVAgQJ6U1MVXOaj8PK2l7WJ3RER9xtqwdhxkhw/edit?usp=sharing"",""ประจวบคีรีขันธ์!J509"")"),0)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IFERROR(__xludf.DUMMYFUNCTION("IMPORTRANGE(""https://docs.google.com/spreadsheets/d/1SX6NBoVAgQJ6U1MVXOaj8PK2l7WJ3RER9xtqwdhxkhw/edit?usp=sharing"",""ประจวบคีรีขันธ์!I510"")"),0)</f>
        <v>0</v>
      </c>
      <c r="J615" s="198">
        <f ca="1">IFERROR(__xludf.DUMMYFUNCTION("IMPORTRANGE(""https://docs.google.com/spreadsheets/d/1SX6NBoVAgQJ6U1MVXOaj8PK2l7WJ3RER9xtqwdhxkhw/edit?usp=sharing"",""ประจวบคีรีขันธ์!J510"")"),0)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IFERROR(__xludf.DUMMYFUNCTION("IMPORTRANGE(""https://docs.google.com/spreadsheets/d/1SX6NBoVAgQJ6U1MVXOaj8PK2l7WJ3RER9xtqwdhxkhw/edit?usp=sharing"",""ประจวบคีรีขันธ์!I511"")"),0)</f>
        <v>0</v>
      </c>
      <c r="J616" s="198">
        <f ca="1">IFERROR(__xludf.DUMMYFUNCTION("IMPORTRANGE(""https://docs.google.com/spreadsheets/d/1SX6NBoVAgQJ6U1MVXOaj8PK2l7WJ3RER9xtqwdhxkhw/edit?usp=sharing"",""ประจวบคีรีขันธ์!J511"")"),0)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IFERROR(__xludf.DUMMYFUNCTION("IMPORTRANGE(""https://docs.google.com/spreadsheets/d/1SX6NBoVAgQJ6U1MVXOaj8PK2l7WJ3RER9xtqwdhxkhw/edit?usp=sharing"",""ประจวบคีรีขันธ์!I512"")"),0)</f>
        <v>0</v>
      </c>
      <c r="J617" s="188">
        <f ca="1">IFERROR(__xludf.DUMMYFUNCTION("IMPORTRANGE(""https://docs.google.com/spreadsheets/d/1SX6NBoVAgQJ6U1MVXOaj8PK2l7WJ3RER9xtqwdhxkhw/edit?usp=sharing"",""ประจวบคีรีขันธ์!J512"")"),0)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IFERROR(__xludf.DUMMYFUNCTION("IMPORTRANGE(""https://docs.google.com/spreadsheets/d/1SX6NBoVAgQJ6U1MVXOaj8PK2l7WJ3RER9xtqwdhxkhw/edit?usp=sharing"",""ประจวบคีรีขันธ์!I513"")"),0)</f>
        <v>0</v>
      </c>
      <c r="J618" s="189">
        <f ca="1">IFERROR(__xludf.DUMMYFUNCTION("IMPORTRANGE(""https://docs.google.com/spreadsheets/d/1SX6NBoVAgQJ6U1MVXOaj8PK2l7WJ3RER9xtqwdhxkhw/edit?usp=sharing"",""ประจวบคีรีขันธ์!J513"")"),0)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IFERROR(__xludf.DUMMYFUNCTION("IMPORTRANGE(""https://docs.google.com/spreadsheets/d/1SX6NBoVAgQJ6U1MVXOaj8PK2l7WJ3RER9xtqwdhxkhw/edit?usp=sharing"",""ประจวบคีรีขันธ์!I514"")"),0)</f>
        <v>0</v>
      </c>
      <c r="J619" s="189">
        <f ca="1">IFERROR(__xludf.DUMMYFUNCTION("IMPORTRANGE(""https://docs.google.com/spreadsheets/d/1SX6NBoVAgQJ6U1MVXOaj8PK2l7WJ3RER9xtqwdhxkhw/edit?usp=sharing"",""ประจวบคีรีขันธ์!J514"")"),0)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IFERROR(__xludf.DUMMYFUNCTION("IMPORTRANGE(""https://docs.google.com/spreadsheets/d/1SX6NBoVAgQJ6U1MVXOaj8PK2l7WJ3RER9xtqwdhxkhw/edit?usp=sharing"",""ประจวบคีรีขันธ์!I515"")"),0)</f>
        <v>0</v>
      </c>
      <c r="J620" s="203">
        <f ca="1">IFERROR(__xludf.DUMMYFUNCTION("IMPORTRANGE(""https://docs.google.com/spreadsheets/d/1SX6NBoVAgQJ6U1MVXOaj8PK2l7WJ3RER9xtqwdhxkhw/edit?usp=sharing"",""ประจวบคีรีขันธ์!J515"")"),0)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IFERROR(__xludf.DUMMYFUNCTION("IMPORTRANGE(""https://docs.google.com/spreadsheets/d/1SX6NBoVAgQJ6U1MVXOaj8PK2l7WJ3RER9xtqwdhxkhw/edit?usp=sharing"",""ประจวบคีรีขันธ์!I516"")"),0)</f>
        <v>0</v>
      </c>
      <c r="J621" s="203">
        <f ca="1">IFERROR(__xludf.DUMMYFUNCTION("IMPORTRANGE(""https://docs.google.com/spreadsheets/d/1SX6NBoVAgQJ6U1MVXOaj8PK2l7WJ3RER9xtqwdhxkhw/edit?usp=sharing"",""ประจวบคีรีขันธ์!J516"")"),0)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IFERROR(__xludf.DUMMYFUNCTION("IMPORTRANGE(""https://docs.google.com/spreadsheets/d/1SX6NBoVAgQJ6U1MVXOaj8PK2l7WJ3RER9xtqwdhxkhw/edit?usp=sharing"",""ประจวบคีรีขันธ์!I517"")"),0)</f>
        <v>0</v>
      </c>
      <c r="J622" s="189">
        <f ca="1">IFERROR(__xludf.DUMMYFUNCTION("IMPORTRANGE(""https://docs.google.com/spreadsheets/d/1SX6NBoVAgQJ6U1MVXOaj8PK2l7WJ3RER9xtqwdhxkhw/edit?usp=sharing"",""ประจวบคีรีขันธ์!J517"")"),0)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IFERROR(__xludf.DUMMYFUNCTION("IMPORTRANGE(""https://docs.google.com/spreadsheets/d/1SX6NBoVAgQJ6U1MVXOaj8PK2l7WJ3RER9xtqwdhxkhw/edit?usp=sharing"",""ประจวบคีรีขันธ์!I518"")"),0)</f>
        <v>0</v>
      </c>
      <c r="J623" s="189">
        <f ca="1">IFERROR(__xludf.DUMMYFUNCTION("IMPORTRANGE(""https://docs.google.com/spreadsheets/d/1SX6NBoVAgQJ6U1MVXOaj8PK2l7WJ3RER9xtqwdhxkhw/edit?usp=sharing"",""ประจวบคีรีขันธ์!J518"")"),0)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IFERROR(__xludf.DUMMYFUNCTION("IMPORTRANGE(""https://docs.google.com/spreadsheets/d/1SX6NBoVAgQJ6U1MVXOaj8PK2l7WJ3RER9xtqwdhxkhw/edit?usp=sharing"",""ประจวบคีรีขันธ์!I519"")"),0)</f>
        <v>0</v>
      </c>
      <c r="J624" s="188">
        <f ca="1">IFERROR(__xludf.DUMMYFUNCTION("IMPORTRANGE(""https://docs.google.com/spreadsheets/d/1SX6NBoVAgQJ6U1MVXOaj8PK2l7WJ3RER9xtqwdhxkhw/edit?usp=sharing"",""ประจวบคีรีขันธ์!J519"")"),0)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IFERROR(__xludf.DUMMYFUNCTION("IMPORTRANGE(""https://docs.google.com/spreadsheets/d/1SX6NBoVAgQJ6U1MVXOaj8PK2l7WJ3RER9xtqwdhxkhw/edit?usp=sharing"",""ประจวบคีรีขันธ์!I520"")"),0)</f>
        <v>0</v>
      </c>
      <c r="J625" s="189">
        <f ca="1">IFERROR(__xludf.DUMMYFUNCTION("IMPORTRANGE(""https://docs.google.com/spreadsheets/d/1SX6NBoVAgQJ6U1MVXOaj8PK2l7WJ3RER9xtqwdhxkhw/edit?usp=sharing"",""ประจวบคีรีขันธ์!J520"")"),0)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IFERROR(__xludf.DUMMYFUNCTION("IMPORTRANGE(""https://docs.google.com/spreadsheets/d/1SX6NBoVAgQJ6U1MVXOaj8PK2l7WJ3RER9xtqwdhxkhw/edit?usp=sharing"",""ประจวบคีรีขันธ์!I521"")"),0)</f>
        <v>0</v>
      </c>
      <c r="J626" s="189">
        <f ca="1">IFERROR(__xludf.DUMMYFUNCTION("IMPORTRANGE(""https://docs.google.com/spreadsheets/d/1SX6NBoVAgQJ6U1MVXOaj8PK2l7WJ3RER9xtqwdhxkhw/edit?usp=sharing"",""ประจวบคีรีขันธ์!J521"")"),0)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41">
        <f ca="1">IFERROR(__xludf.DUMMYFUNCTION("IMPORTRANGE(""https://docs.google.com/spreadsheets/d/1SX6NBoVAgQJ6U1MVXOaj8PK2l7WJ3RER9xtqwdhxkhw/edit?usp=sharing"",""ประจวบคีรีขันธ์!J523"")"),663690.62)</f>
        <v>663690.62</v>
      </c>
      <c r="K628" s="342">
        <f t="shared" ref="K628:K635" ca="1" si="129">IF(I628&gt;0,J628*100/I628,0)</f>
        <v>34.463234699290162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IFERROR(__xludf.DUMMYFUNCTION("IMPORTRANGE(""https://docs.google.com/spreadsheets/d/1SX6NBoVAgQJ6U1MVXOaj8PK2l7WJ3RER9xtqwdhxkhw/edit?usp=sharing"",""ประจวบคีรีขันธ์!I524"")"),145)</f>
        <v>145</v>
      </c>
      <c r="J629" s="341">
        <f ca="1">IFERROR(__xludf.DUMMYFUNCTION("IMPORTRANGE(""https://docs.google.com/spreadsheets/d/1SX6NBoVAgQJ6U1MVXOaj8PK2l7WJ3RER9xtqwdhxkhw/edit?usp=sharing"",""ประจวบคีรีขันธ์!J524"")"),50)</f>
        <v>50</v>
      </c>
      <c r="K629" s="342">
        <f t="shared" ca="1" si="129"/>
        <v>34.482758620689658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41">
        <f ca="1">IFERROR(__xludf.DUMMYFUNCTION("IMPORTRANGE(""https://docs.google.com/spreadsheets/d/1SX6NBoVAgQJ6U1MVXOaj8PK2l7WJ3RER9xtqwdhxkhw/edit?usp=sharing"",""ประจวบคีรีขันธ์!J525"")"),52038)</f>
        <v>52038</v>
      </c>
      <c r="K630" s="342">
        <f t="shared" ca="1" si="129"/>
        <v>16.444015077504091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IFERROR(__xludf.DUMMYFUNCTION("IMPORTRANGE(""https://docs.google.com/spreadsheets/d/1SX6NBoVAgQJ6U1MVXOaj8PK2l7WJ3RER9xtqwdhxkhw/edit?usp=sharing"",""ประจวบคีรีขันธ์!I526"")"),22)</f>
        <v>22</v>
      </c>
      <c r="J631" s="341">
        <f ca="1">IFERROR(__xludf.DUMMYFUNCTION("IMPORTRANGE(""https://docs.google.com/spreadsheets/d/1SX6NBoVAgQJ6U1MVXOaj8PK2l7WJ3RER9xtqwdhxkhw/edit?usp=sharing"",""ประจวบคีรีขันธ์!J526"")"),20)</f>
        <v>20</v>
      </c>
      <c r="K631" s="342">
        <f t="shared" ca="1" si="129"/>
        <v>90.909090909090907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IFERROR(__xludf.DUMMYFUNCTION("IMPORTRANGE(""https://docs.google.com/spreadsheets/d/1SX6NBoVAgQJ6U1MVXOaj8PK2l7WJ3RER9xtqwdhxkhw/edit?usp=sharing"",""ประจวบคีรีขันธ์!I527"")"),231.96)</f>
        <v>231.96</v>
      </c>
      <c r="J632" s="341">
        <f ca="1">IFERROR(__xludf.DUMMYFUNCTION("IMPORTRANGE(""https://docs.google.com/spreadsheets/d/1SX6NBoVAgQJ6U1MVXOaj8PK2l7WJ3RER9xtqwdhxkhw/edit?usp=sharing"",""ประจวบคีรีขันธ์!J527"")"),231.96)</f>
        <v>231.96</v>
      </c>
      <c r="K632" s="342">
        <f t="shared" ca="1" si="129"/>
        <v>100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IFERROR(__xludf.DUMMYFUNCTION("IMPORTRANGE(""https://docs.google.com/spreadsheets/d/1SX6NBoVAgQJ6U1MVXOaj8PK2l7WJ3RER9xtqwdhxkhw/edit?usp=sharing"",""ประจวบคีรีขันธ์!I528"")"),1)</f>
        <v>1</v>
      </c>
      <c r="J633" s="341">
        <f ca="1">IFERROR(__xludf.DUMMYFUNCTION("IMPORTRANGE(""https://docs.google.com/spreadsheets/d/1SX6NBoVAgQJ6U1MVXOaj8PK2l7WJ3RER9xtqwdhxkhw/edit?usp=sharing"",""ประจวบคีรีขันธ์!J528"")"),1)</f>
        <v>1</v>
      </c>
      <c r="K633" s="342">
        <f t="shared" ca="1" si="129"/>
        <v>100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IFERROR(__xludf.DUMMYFUNCTION("IMPORTRANGE(""https://docs.google.com/spreadsheets/d/1SX6NBoVAgQJ6U1MVXOaj8PK2l7WJ3RER9xtqwdhxkhw/edit?usp=sharing"",""ประจวบคีรีขันธ์!I529"")"),2000000)</f>
        <v>2000000</v>
      </c>
      <c r="J634" s="341">
        <f ca="1">IFERROR(__xludf.DUMMYFUNCTION("IMPORTRANGE(""https://docs.google.com/spreadsheets/d/1SX6NBoVAgQJ6U1MVXOaj8PK2l7WJ3RER9xtqwdhxkhw/edit?usp=sharing"",""ประจวบคีรีขันธ์!J529"")"),0)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IFERROR(__xludf.DUMMYFUNCTION("IMPORTRANGE(""https://docs.google.com/spreadsheets/d/1SX6NBoVAgQJ6U1MVXOaj8PK2l7WJ3RER9xtqwdhxkhw/edit?usp=sharing"",""ประจวบคีรีขันธ์!I530"")"),45)</f>
        <v>45</v>
      </c>
      <c r="J635" s="504">
        <f ca="1">IFERROR(__xludf.DUMMYFUNCTION("IMPORTRANGE(""https://docs.google.com/spreadsheets/d/1SX6NBoVAgQJ6U1MVXOaj8PK2l7WJ3RER9xtqwdhxkhw/edit?usp=sharing"",""ประจวบคีรีขันธ์!J530"")"),0)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G572" sqref="G57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258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3224601</v>
      </c>
      <c r="M8" s="23">
        <f t="shared" ca="1" si="0"/>
        <v>1937210</v>
      </c>
      <c r="N8" s="23">
        <f t="shared" ca="1" si="0"/>
        <v>1646585.7</v>
      </c>
      <c r="O8" s="22">
        <f t="shared" ref="O8:O16" ca="1" si="1">IF(L8&gt;0,N8*100/L8,0)</f>
        <v>51.063238521603139</v>
      </c>
      <c r="P8" s="22">
        <f t="shared" ref="P8:P16" ca="1" si="2">IF(M8&gt;0,N8*100/M8,0)</f>
        <v>84.997790637050187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3224601</v>
      </c>
      <c r="M10" s="30">
        <f t="shared" ca="1" si="4"/>
        <v>1937210</v>
      </c>
      <c r="N10" s="30">
        <f t="shared" ca="1" si="4"/>
        <v>1646585.7</v>
      </c>
      <c r="O10" s="29">
        <f t="shared" ca="1" si="1"/>
        <v>51.063238521603139</v>
      </c>
      <c r="P10" s="29">
        <f t="shared" ca="1" si="2"/>
        <v>84.997790637050187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3132201</v>
      </c>
      <c r="M12" s="38">
        <f t="shared" ca="1" si="6"/>
        <v>1844810</v>
      </c>
      <c r="N12" s="38">
        <f t="shared" ca="1" si="6"/>
        <v>1554185.7</v>
      </c>
      <c r="O12" s="38">
        <f t="shared" ca="1" si="1"/>
        <v>49.619602956515244</v>
      </c>
      <c r="P12" s="38">
        <f t="shared" ca="1" si="2"/>
        <v>84.246383096362223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1669000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1463201</v>
      </c>
      <c r="M14" s="38">
        <f t="shared" si="8"/>
        <v>0</v>
      </c>
      <c r="N14" s="38">
        <f t="shared" ca="1" si="8"/>
        <v>400336</v>
      </c>
      <c r="O14" s="38">
        <f t="shared" ca="1" si="1"/>
        <v>27.360287479300521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2399775</v>
      </c>
      <c r="M18" s="23">
        <f t="shared" ca="1" si="11"/>
        <v>1937210</v>
      </c>
      <c r="N18" s="23">
        <f t="shared" ca="1" si="11"/>
        <v>1246249.7</v>
      </c>
      <c r="O18" s="22">
        <f t="shared" ref="O18:O20" ca="1" si="12">IF(L18&gt;0,N18*100/L18,0)</f>
        <v>51.931939452657019</v>
      </c>
      <c r="P18" s="22">
        <f t="shared" ref="P18:P26" ca="1" si="13">IF(M18&gt;0,N18*100/M18,0)</f>
        <v>64.332194238105316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2399775</v>
      </c>
      <c r="M20" s="30">
        <f t="shared" ca="1" si="15"/>
        <v>1937210</v>
      </c>
      <c r="N20" s="30">
        <f t="shared" ca="1" si="15"/>
        <v>1246249.7</v>
      </c>
      <c r="O20" s="29">
        <f t="shared" ca="1" si="12"/>
        <v>51.931939452657019</v>
      </c>
      <c r="P20" s="29">
        <f t="shared" ca="1" si="13"/>
        <v>64.332194238105316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2307375</v>
      </c>
      <c r="M22" s="41">
        <f t="shared" ca="1" si="18"/>
        <v>1844810</v>
      </c>
      <c r="N22" s="38">
        <f t="shared" ca="1" si="18"/>
        <v>1153849.7</v>
      </c>
      <c r="O22" s="38">
        <f t="shared" ca="1" si="17"/>
        <v>50.007029633241238</v>
      </c>
      <c r="P22" s="38">
        <f t="shared" ca="1" si="13"/>
        <v>62.545720155463165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1669000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638375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92400</v>
      </c>
      <c r="M26" s="49">
        <f t="shared" ca="1" si="22"/>
        <v>92400</v>
      </c>
      <c r="N26" s="49">
        <f t="shared" ca="1" si="22"/>
        <v>92400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824826</v>
      </c>
      <c r="M28" s="23">
        <f t="shared" si="23"/>
        <v>0</v>
      </c>
      <c r="N28" s="23">
        <f t="shared" ca="1" si="23"/>
        <v>400336</v>
      </c>
      <c r="O28" s="22">
        <f t="shared" ref="O28:O30" ca="1" si="24">IF(L28&gt;0,N28*100/L28,0)</f>
        <v>48.53581240164592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824826</v>
      </c>
      <c r="M30" s="30">
        <f t="shared" si="27"/>
        <v>0</v>
      </c>
      <c r="N30" s="30">
        <f t="shared" ca="1" si="27"/>
        <v>400336</v>
      </c>
      <c r="O30" s="29">
        <f t="shared" ca="1" si="24"/>
        <v>48.53581240164592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824826</v>
      </c>
      <c r="M32" s="38">
        <f t="shared" si="30"/>
        <v>0</v>
      </c>
      <c r="N32" s="38">
        <f t="shared" ca="1" si="30"/>
        <v>400336</v>
      </c>
      <c r="O32" s="38">
        <f t="shared" ca="1" si="29"/>
        <v>48.53581240164592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824826</v>
      </c>
      <c r="M34" s="38">
        <f t="shared" si="32"/>
        <v>0</v>
      </c>
      <c r="N34" s="38">
        <f t="shared" ca="1" si="32"/>
        <v>400336</v>
      </c>
      <c r="O34" s="38">
        <f t="shared" ca="1" si="29"/>
        <v>48.53581240164592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2399775</v>
      </c>
      <c r="M37" s="54">
        <f t="shared" ca="1" si="33"/>
        <v>1937210</v>
      </c>
      <c r="N37" s="54">
        <f t="shared" ca="1" si="33"/>
        <v>1246249.7</v>
      </c>
      <c r="O37" s="55">
        <f t="shared" ca="1" si="29"/>
        <v>51.931939452657019</v>
      </c>
      <c r="P37" s="55">
        <f t="shared" ca="1" si="25"/>
        <v>64.332194238105316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253100</v>
      </c>
      <c r="N41" s="78">
        <f t="shared" ca="1" si="34"/>
        <v>150365</v>
      </c>
      <c r="O41" s="77">
        <f t="shared" ref="O41:O43" ca="1" si="35">IF(L41&gt;0,N41*100/L41,0)</f>
        <v>45.454957678355498</v>
      </c>
      <c r="P41" s="77">
        <f t="shared" ref="P41:P43" ca="1" si="36">IF(M41&gt;0,N41*100/M41,0)</f>
        <v>59.409324377716317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253100</v>
      </c>
      <c r="N43" s="78">
        <f t="shared" ca="1" si="38"/>
        <v>150365</v>
      </c>
      <c r="O43" s="77">
        <f t="shared" ca="1" si="35"/>
        <v>45.454957678355498</v>
      </c>
      <c r="P43" s="77">
        <f t="shared" ca="1" si="36"/>
        <v>59.409324377716317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IFERROR(__xludf.DUMMYFUNCTION("IMPORTRANGE(""https://docs.google.com/spreadsheets/d/1Yj_ptqi66GCucihVvJfMjLAmec39IyEx_6qawtMGysU/edit?usp=sharing"",""สบก!Q69"")"),253100)</f>
        <v>253100</v>
      </c>
      <c r="N45" s="49">
        <f ca="1">IFERROR(__xludf.DUMMYFUNCTION("IMPORTRANGE(""https://docs.google.com/spreadsheets/d/1Yj_ptqi66GCucihVvJfMjLAmec39IyEx_6qawtMGysU/edit?usp=sharing"",""สบก!R69"")"),150365)</f>
        <v>150365</v>
      </c>
      <c r="O45" s="38">
        <f ca="1">IF(L45&gt;0,N45*100/L45,0)</f>
        <v>45.454957678355498</v>
      </c>
      <c r="P45" s="38">
        <f ca="1">IF(M45&gt;0,N45*100/M45,0)</f>
        <v>59.409324377716317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IFERROR(__xludf.DUMMYFUNCTION("IMPORTRANGE(""https://docs.google.com/spreadsheets/d/1Yj_ptqi66GCucihVvJfMjLAmec39IyEx_6qawtMGysU/edit?usp=sharing"",""สบก!M69"")"),330800)</f>
        <v>330800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IFERROR(__xludf.DUMMYFUNCTION("IMPORTRANGE(""https://docs.google.com/spreadsheets/d/1Yj_ptqi66GCucihVvJfMjLAmec39IyEx_6qawtMGysU/edit?usp=sharing"",""สบก!O69"")"),0)</f>
        <v>0</v>
      </c>
      <c r="M49" s="49"/>
      <c r="N49" s="49">
        <f ca="1">IFERROR(__xludf.DUMMYFUNCTION("IMPORTRANGE(""https://docs.google.com/spreadsheets/d/1Yj_ptqi66GCucihVvJfMjLAmec39IyEx_6qawtMGysU/edit?usp=sharing"",""สบก!S69"")"),0)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344730</v>
      </c>
      <c r="N53" s="121">
        <f t="shared" ca="1" si="39"/>
        <v>164628</v>
      </c>
      <c r="O53" s="120">
        <f t="shared" ref="O53:O55" ca="1" si="40">IF(L53&gt;0,N53*100/L53,0)</f>
        <v>36.584000000000003</v>
      </c>
      <c r="P53" s="120">
        <f t="shared" ref="P53:P55" ca="1" si="41">IF(M53&gt;0,N53*100/M53,0)</f>
        <v>47.755634844661039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344730</v>
      </c>
      <c r="N55" s="121">
        <f t="shared" ca="1" si="43"/>
        <v>164628</v>
      </c>
      <c r="O55" s="120">
        <f t="shared" ca="1" si="40"/>
        <v>36.584000000000003</v>
      </c>
      <c r="P55" s="120">
        <f t="shared" ca="1" si="41"/>
        <v>47.755634844661039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IFERROR(__xludf.DUMMYFUNCTION("IMPORTRANGE(""https://docs.google.com/spreadsheets/d/1Yj_ptqi66GCucihVvJfMjLAmec39IyEx_6qawtMGysU/edit?usp=sharing"",""สบก!Z69"")"),344730)</f>
        <v>344730</v>
      </c>
      <c r="N57" s="49">
        <f ca="1">IFERROR(__xludf.DUMMYFUNCTION("IMPORTRANGE(""https://docs.google.com/spreadsheets/d/1Yj_ptqi66GCucihVvJfMjLAmec39IyEx_6qawtMGysU/edit?usp=sharing"",""สบก!AA69"")"),164628)</f>
        <v>164628</v>
      </c>
      <c r="O57" s="38">
        <f ca="1">IF(L57&gt;0,N57*100/L57,0)</f>
        <v>36.584000000000003</v>
      </c>
      <c r="P57" s="38">
        <f ca="1">IF(M57&gt;0,N57*100/M57,0)</f>
        <v>47.755634844661039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IFERROR(__xludf.DUMMYFUNCTION("IMPORTRANGE(""https://docs.google.com/spreadsheets/d/1Yj_ptqi66GCucihVvJfMjLAmec39IyEx_6qawtMGysU/edit?usp=sharing"",""สบก!V69"")"),450000)</f>
        <v>450000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IFERROR(__xludf.DUMMYFUNCTION("IMPORTRANGE(""https://docs.google.com/spreadsheets/d/1Yj_ptqi66GCucihVvJfMjLAmec39IyEx_6qawtMGysU/edit?usp=sharing"",""สบก!X69"")"),0)</f>
        <v>0</v>
      </c>
      <c r="M61" s="49"/>
      <c r="N61" s="49">
        <f ca="1">IFERROR(__xludf.DUMMYFUNCTION("IMPORTRANGE(""https://docs.google.com/spreadsheets/d/1Yj_ptqi66GCucihVvJfMjLAmec39IyEx_6qawtMGysU/edit?usp=sharing"",""สบก!AB69"")"),0)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IFERROR(__xludf.DUMMYFUNCTION("IMPORTRANGE(""https://docs.google.com/spreadsheets/d/1SX6NBoVAgQJ6U1MVXOaj8PK2l7WJ3RER9xtqwdhxkhw/edit?usp=sharing"",""ปราจีนบุรี!I9"")"),0)</f>
        <v>0</v>
      </c>
      <c r="J64" s="142">
        <f ca="1">IFERROR(__xludf.DUMMYFUNCTION("IMPORTRANGE(""https://docs.google.com/spreadsheets/d/1SX6NBoVAgQJ6U1MVXOaj8PK2l7WJ3RER9xtqwdhxkhw/edit?usp=sharing"",""ปราจีนบุรี!J9"")"),0)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IFERROR(__xludf.DUMMYFUNCTION("IMPORTRANGE(""https://docs.google.com/spreadsheets/d/1SX6NBoVAgQJ6U1MVXOaj8PK2l7WJ3RER9xtqwdhxkhw/edit?usp=sharing"",""ปราจีนบุรี!I10"")"),0)</f>
        <v>0</v>
      </c>
      <c r="J65" s="142">
        <f ca="1">IFERROR(__xludf.DUMMYFUNCTION("IMPORTRANGE(""https://docs.google.com/spreadsheets/d/1SX6NBoVAgQJ6U1MVXOaj8PK2l7WJ3RER9xtqwdhxkhw/edit?usp=sharing"",""ปราจีนบุรี!J10"")"),0)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IFERROR(__xludf.DUMMYFUNCTION("IMPORTRANGE(""https://docs.google.com/spreadsheets/d/1Yj_ptqi66GCucihVvJfMjLAmec39IyEx_6qawtMGysU/edit?usp=sharing"",""สบก!AI69"")"),0)</f>
        <v>0</v>
      </c>
      <c r="N70" s="169">
        <f ca="1">IFERROR(__xludf.DUMMYFUNCTION("IMPORTRANGE(""https://docs.google.com/spreadsheets/d/1Yj_ptqi66GCucihVvJfMjLAmec39IyEx_6qawtMGysU/edit?usp=sharing"",""สบก!AJ69"")"),0)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IFERROR(__xludf.DUMMYFUNCTION("IMPORTRANGE(""https://docs.google.com/spreadsheets/d/1Yj_ptqi66GCucihVvJfMjLAmec39IyEx_6qawtMGysU/edit?usp=sharing"",""สบก!AE69"")"),0)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IFERROR(__xludf.DUMMYFUNCTION("IMPORTRANGE(""https://docs.google.com/spreadsheets/d/1Yj_ptqi66GCucihVvJfMjLAmec39IyEx_6qawtMGysU/edit?usp=sharing"",""สบก!AF69"")"),0)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IFERROR(__xludf.DUMMYFUNCTION("IMPORTRANGE(""https://docs.google.com/spreadsheets/d/1Yj_ptqi66GCucihVvJfMjLAmec39IyEx_6qawtMGysU/edit?usp=sharing"",""สบก!AG69"")"),0)</f>
        <v>0</v>
      </c>
      <c r="M74" s="49"/>
      <c r="N74" s="49">
        <f ca="1">IFERROR(__xludf.DUMMYFUNCTION("IMPORTRANGE(""https://docs.google.com/spreadsheets/d/1Yj_ptqi66GCucihVvJfMjLAmec39IyEx_6qawtMGysU/edit?usp=sharing"",""สบก!AK69"")"),0)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IFERROR(__xludf.DUMMYFUNCTION("IMPORTRANGE(""https://docs.google.com/spreadsheets/d/1SX6NBoVAgQJ6U1MVXOaj8PK2l7WJ3RER9xtqwdhxkhw/edit?usp=sharing"",""ปราจีนบุรี!J16"")"),0)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IFERROR(__xludf.DUMMYFUNCTION("IMPORTRANGE(""https://docs.google.com/spreadsheets/d/1SX6NBoVAgQJ6U1MVXOaj8PK2l7WJ3RER9xtqwdhxkhw/edit?usp=sharing"",""ปราจีนบุรี!J17"")"),0)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IFERROR(__xludf.DUMMYFUNCTION("IMPORTRANGE(""https://docs.google.com/spreadsheets/d/1SX6NBoVAgQJ6U1MVXOaj8PK2l7WJ3RER9xtqwdhxkhw/edit?usp=sharing"",""ปราจีนบุรี!J18"")"),0)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IFERROR(__xludf.DUMMYFUNCTION("IMPORTRANGE(""https://docs.google.com/spreadsheets/d/1SX6NBoVAgQJ6U1MVXOaj8PK2l7WJ3RER9xtqwdhxkhw/edit?usp=sharing"",""ปราจีนบุรี!J19"")"),0)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IFERROR(__xludf.DUMMYFUNCTION("IMPORTRANGE(""https://docs.google.com/spreadsheets/d/1SX6NBoVAgQJ6U1MVXOaj8PK2l7WJ3RER9xtqwdhxkhw/edit?usp=sharing"",""ปราจีนบุรี!I20"")"),0)</f>
        <v>0</v>
      </c>
      <c r="J80" s="201">
        <f ca="1">IFERROR(__xludf.DUMMYFUNCTION("IMPORTRANGE(""https://docs.google.com/spreadsheets/d/1SX6NBoVAgQJ6U1MVXOaj8PK2l7WJ3RER9xtqwdhxkhw/edit?usp=sharing"",""ปราจีนบุรี!J20"")"),0)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IFERROR(__xludf.DUMMYFUNCTION("IMPORTRANGE(""https://docs.google.com/spreadsheets/d/1SX6NBoVAgQJ6U1MVXOaj8PK2l7WJ3RER9xtqwdhxkhw/edit?usp=sharing"",""ปราจีนบุรี!I21"")"),0)</f>
        <v>0</v>
      </c>
      <c r="J81" s="201">
        <f ca="1">IFERROR(__xludf.DUMMYFUNCTION("IMPORTRANGE(""https://docs.google.com/spreadsheets/d/1SX6NBoVAgQJ6U1MVXOaj8PK2l7WJ3RER9xtqwdhxkhw/edit?usp=sharing"",""ปราจีนบุรี!J21"")"),0)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IFERROR(__xludf.DUMMYFUNCTION("IMPORTRANGE(""https://docs.google.com/spreadsheets/d/1SX6NBoVAgQJ6U1MVXOaj8PK2l7WJ3RER9xtqwdhxkhw/edit?usp=sharing"",""ปราจีนบุรี!I22"")"),0)</f>
        <v>0</v>
      </c>
      <c r="J82" s="204">
        <f ca="1">IFERROR(__xludf.DUMMYFUNCTION("IMPORTRANGE(""https://docs.google.com/spreadsheets/d/1SX6NBoVAgQJ6U1MVXOaj8PK2l7WJ3RER9xtqwdhxkhw/edit?usp=sharing"",""ปราจีนบุรี!J22"")"),0)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IFERROR(__xludf.DUMMYFUNCTION("IMPORTRANGE(""https://docs.google.com/spreadsheets/d/1SX6NBoVAgQJ6U1MVXOaj8PK2l7WJ3RER9xtqwdhxkhw/edit?usp=sharing"",""ปราจีนบุรี!I23"")"),0)</f>
        <v>0</v>
      </c>
      <c r="J83" s="204">
        <f ca="1">IFERROR(__xludf.DUMMYFUNCTION("IMPORTRANGE(""https://docs.google.com/spreadsheets/d/1SX6NBoVAgQJ6U1MVXOaj8PK2l7WJ3RER9xtqwdhxkhw/edit?usp=sharing"",""ปราจีนบุรี!J23"")"),0)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IFERROR(__xludf.DUMMYFUNCTION("IMPORTRANGE(""https://docs.google.com/spreadsheets/d/1SX6NBoVAgQJ6U1MVXOaj8PK2l7WJ3RER9xtqwdhxkhw/edit?usp=sharing"",""ปราจีนบุรี!I24"")"),0)</f>
        <v>0</v>
      </c>
      <c r="J84" s="189">
        <f ca="1">IFERROR(__xludf.DUMMYFUNCTION("IMPORTRANGE(""https://docs.google.com/spreadsheets/d/1SX6NBoVAgQJ6U1MVXOaj8PK2l7WJ3RER9xtqwdhxkhw/edit?usp=sharing"",""ปราจีนบุรี!J24"")"),0)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IFERROR(__xludf.DUMMYFUNCTION("IMPORTRANGE(""https://docs.google.com/spreadsheets/d/1SX6NBoVAgQJ6U1MVXOaj8PK2l7WJ3RER9xtqwdhxkhw/edit?usp=sharing"",""ปราจีนบุรี!I25"")"),0)</f>
        <v>0</v>
      </c>
      <c r="J85" s="189">
        <f ca="1">IFERROR(__xludf.DUMMYFUNCTION("IMPORTRANGE(""https://docs.google.com/spreadsheets/d/1SX6NBoVAgQJ6U1MVXOaj8PK2l7WJ3RER9xtqwdhxkhw/edit?usp=sharing"",""ปราจีนบุรี!J25"")"),0)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IFERROR(__xludf.DUMMYFUNCTION("IMPORTRANGE(""https://docs.google.com/spreadsheets/d/1SX6NBoVAgQJ6U1MVXOaj8PK2l7WJ3RER9xtqwdhxkhw/edit?usp=sharing"",""ปราจีนบุรี!I26"")"),0)</f>
        <v>0</v>
      </c>
      <c r="J86" s="204">
        <f ca="1">IFERROR(__xludf.DUMMYFUNCTION("IMPORTRANGE(""https://docs.google.com/spreadsheets/d/1SX6NBoVAgQJ6U1MVXOaj8PK2l7WJ3RER9xtqwdhxkhw/edit?usp=sharing"",""ปราจีนบุรี!J26"")"),0)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IFERROR(__xludf.DUMMYFUNCTION("IMPORTRANGE(""https://docs.google.com/spreadsheets/d/1SX6NBoVAgQJ6U1MVXOaj8PK2l7WJ3RER9xtqwdhxkhw/edit?usp=sharing"",""ปราจีนบุรี!I27"")"),0)</f>
        <v>0</v>
      </c>
      <c r="J87" s="204">
        <f ca="1">IFERROR(__xludf.DUMMYFUNCTION("IMPORTRANGE(""https://docs.google.com/spreadsheets/d/1SX6NBoVAgQJ6U1MVXOaj8PK2l7WJ3RER9xtqwdhxkhw/edit?usp=sharing"",""ปราจีนบุรี!J27"")"),0)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IFERROR(__xludf.DUMMYFUNCTION("IMPORTRANGE(""https://docs.google.com/spreadsheets/d/1SX6NBoVAgQJ6U1MVXOaj8PK2l7WJ3RER9xtqwdhxkhw/edit?usp=sharing"",""ปราจีนบุรี!I28"")"),0)</f>
        <v>0</v>
      </c>
      <c r="J88" s="204">
        <f ca="1">IFERROR(__xludf.DUMMYFUNCTION("IMPORTRANGE(""https://docs.google.com/spreadsheets/d/1SX6NBoVAgQJ6U1MVXOaj8PK2l7WJ3RER9xtqwdhxkhw/edit?usp=sharing"",""ปราจีนบุรี!J28"")"),0)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IFERROR(__xludf.DUMMYFUNCTION("IMPORTRANGE(""https://docs.google.com/spreadsheets/d/1SX6NBoVAgQJ6U1MVXOaj8PK2l7WJ3RER9xtqwdhxkhw/edit?usp=sharing"",""ปราจีนบุรี!J29"")"),0)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IFERROR(__xludf.DUMMYFUNCTION("IMPORTRANGE(""https://docs.google.com/spreadsheets/d/1SX6NBoVAgQJ6U1MVXOaj8PK2l7WJ3RER9xtqwdhxkhw/edit?usp=sharing"",""ปราจีนบุรี!J30"")"),0)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IFERROR(__xludf.DUMMYFUNCTION("IMPORTRANGE(""https://docs.google.com/spreadsheets/d/1SX6NBoVAgQJ6U1MVXOaj8PK2l7WJ3RER9xtqwdhxkhw/edit?usp=sharing"",""ปราจีนบุรี!I32"")"),4)</f>
        <v>4</v>
      </c>
      <c r="J92" s="142">
        <f ca="1">IFERROR(__xludf.DUMMYFUNCTION("IMPORTRANGE(""https://docs.google.com/spreadsheets/d/1SX6NBoVAgQJ6U1MVXOaj8PK2l7WJ3RER9xtqwdhxkhw/edit?usp=sharing"",""ปราจีนบุรี!J32"")"),4)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IFERROR(__xludf.DUMMYFUNCTION("IMPORTRANGE(""https://docs.google.com/spreadsheets/d/1SX6NBoVAgQJ6U1MVXOaj8PK2l7WJ3RER9xtqwdhxkhw/edit?usp=sharing"",""ปราจีนบุรี!I33"")"),1)</f>
        <v>1</v>
      </c>
      <c r="J93" s="142">
        <f ca="1">IFERROR(__xludf.DUMMYFUNCTION("IMPORTRANGE(""https://docs.google.com/spreadsheets/d/1SX6NBoVAgQJ6U1MVXOaj8PK2l7WJ3RER9xtqwdhxkhw/edit?usp=sharing"",""ปราจีนบุรี!J33"")"),1)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190960</v>
      </c>
      <c r="O94" s="151">
        <f t="shared" ref="O94:O96" ca="1" si="53">IF(L94&gt;0,N94*100/L94,0)</f>
        <v>89.025641025641022</v>
      </c>
      <c r="P94" s="151">
        <f t="shared" ref="P94:P96" ca="1" si="54">IF(M94&gt;0,N94*100/M94,0)</f>
        <v>89.025641025641022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190960</v>
      </c>
      <c r="O96" s="156">
        <f t="shared" ca="1" si="53"/>
        <v>89.025641025641022</v>
      </c>
      <c r="P96" s="156">
        <f t="shared" ca="1" si="54"/>
        <v>89.025641025641022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IFERROR(__xludf.DUMMYFUNCTION("IMPORTRANGE(""https://docs.google.com/spreadsheets/d/1Yj_ptqi66GCucihVvJfMjLAmec39IyEx_6qawtMGysU/edit?usp=sharing"",""สบก!AR69"")"),122100)</f>
        <v>122100</v>
      </c>
      <c r="N98" s="169">
        <f ca="1">IFERROR(__xludf.DUMMYFUNCTION("IMPORTRANGE(""https://docs.google.com/spreadsheets/d/1Yj_ptqi66GCucihVvJfMjLAmec39IyEx_6qawtMGysU/edit?usp=sharing"",""สบก!AS69"")"),98560)</f>
        <v>98560</v>
      </c>
      <c r="O98" s="169">
        <f ca="1">IF(L98&gt;0,N98*100/L98,0)</f>
        <v>80.72072072072072</v>
      </c>
      <c r="P98" s="169">
        <f ca="1">IF(M98&gt;0,N98*100/M98,0)</f>
        <v>80.72072072072072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IFERROR(__xludf.DUMMYFUNCTION("IMPORTRANGE(""https://docs.google.com/spreadsheets/d/1Yj_ptqi66GCucihVvJfMjLAmec39IyEx_6qawtMGysU/edit?usp=sharing"",""สบก!AN69"")"),0)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IFERROR(__xludf.DUMMYFUNCTION("IMPORTRANGE(""https://docs.google.com/spreadsheets/d/1Yj_ptqi66GCucihVvJfMjLAmec39IyEx_6qawtMGysU/edit?usp=sharing"",""สบก!AO69"")"),122100)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IFERROR(__xludf.DUMMYFUNCTION("IMPORTRANGE(""https://docs.google.com/spreadsheets/d/1SX6NBoVAgQJ6U1MVXOaj8PK2l7WJ3RER9xtqwdhxkhw/edit?usp=sharing"",""ปราจีนบุรี!J39"")"),0)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IFERROR(__xludf.DUMMYFUNCTION("IMPORTRANGE(""https://docs.google.com/spreadsheets/d/1SX6NBoVAgQJ6U1MVXOaj8PK2l7WJ3RER9xtqwdhxkhw/edit?usp=sharing"",""ปราจีนบุรี!J40"")"),0)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IFERROR(__xludf.DUMMYFUNCTION("IMPORTRANGE(""https://docs.google.com/spreadsheets/d/1SX6NBoVAgQJ6U1MVXOaj8PK2l7WJ3RER9xtqwdhxkhw/edit?usp=sharing"",""ปราจีนบุรี!J41"")"),1)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IFERROR(__xludf.DUMMYFUNCTION("IMPORTRANGE(""https://docs.google.com/spreadsheets/d/1SX6NBoVAgQJ6U1MVXOaj8PK2l7WJ3RER9xtqwdhxkhw/edit?usp=sharing"",""ปราจีนบุรี!J42"")"),0)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IFERROR(__xludf.DUMMYFUNCTION("IMPORTRANGE(""https://docs.google.com/spreadsheets/d/1SX6NBoVAgQJ6U1MVXOaj8PK2l7WJ3RER9xtqwdhxkhw/edit?usp=sharing"",""ปราจีนบุรี!I43"")"),1)</f>
        <v>1</v>
      </c>
      <c r="J108" s="204">
        <f ca="1">IFERROR(__xludf.DUMMYFUNCTION("IMPORTRANGE(""https://docs.google.com/spreadsheets/d/1SX6NBoVAgQJ6U1MVXOaj8PK2l7WJ3RER9xtqwdhxkhw/edit?usp=sharing"",""ปราจีนบุรี!J43"")"),1)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IFERROR(__xludf.DUMMYFUNCTION("IMPORTRANGE(""https://docs.google.com/spreadsheets/d/1SX6NBoVAgQJ6U1MVXOaj8PK2l7WJ3RER9xtqwdhxkhw/edit?usp=sharing"",""ปราจีนบุรี!I44"")"),4)</f>
        <v>4</v>
      </c>
      <c r="J109" s="204">
        <f ca="1">IFERROR(__xludf.DUMMYFUNCTION("IMPORTRANGE(""https://docs.google.com/spreadsheets/d/1SX6NBoVAgQJ6U1MVXOaj8PK2l7WJ3RER9xtqwdhxkhw/edit?usp=sharing"",""ปราจีนบุรี!J44"")"),4)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IFERROR(__xludf.DUMMYFUNCTION("IMPORTRANGE(""https://docs.google.com/spreadsheets/d/1SX6NBoVAgQJ6U1MVXOaj8PK2l7WJ3RER9xtqwdhxkhw/edit?usp=sharing"",""ปราจีนบุรี!I45"")"),4)</f>
        <v>4</v>
      </c>
      <c r="J110" s="204">
        <f ca="1">IFERROR(__xludf.DUMMYFUNCTION("IMPORTRANGE(""https://docs.google.com/spreadsheets/d/1SX6NBoVAgQJ6U1MVXOaj8PK2l7WJ3RER9xtqwdhxkhw/edit?usp=sharing"",""ปราจีนบุรี!J45"")"),4)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IFERROR(__xludf.DUMMYFUNCTION("IMPORTRANGE(""https://docs.google.com/spreadsheets/d/1SX6NBoVAgQJ6U1MVXOaj8PK2l7WJ3RER9xtqwdhxkhw/edit?usp=sharing"",""ปราจีนบุรี!I46"")"),4)</f>
        <v>4</v>
      </c>
      <c r="J111" s="204">
        <f ca="1">IFERROR(__xludf.DUMMYFUNCTION("IMPORTRANGE(""https://docs.google.com/spreadsheets/d/1SX6NBoVAgQJ6U1MVXOaj8PK2l7WJ3RER9xtqwdhxkhw/edit?usp=sharing"",""ปราจีนบุรี!J46"")"),4)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IFERROR(__xludf.DUMMYFUNCTION("IMPORTRANGE(""https://docs.google.com/spreadsheets/d/1SX6NBoVAgQJ6U1MVXOaj8PK2l7WJ3RER9xtqwdhxkhw/edit?usp=sharing"",""ปราจีนบุรี!I47"")"),4)</f>
        <v>4</v>
      </c>
      <c r="J112" s="204">
        <f ca="1">IFERROR(__xludf.DUMMYFUNCTION("IMPORTRANGE(""https://docs.google.com/spreadsheets/d/1SX6NBoVAgQJ6U1MVXOaj8PK2l7WJ3RER9xtqwdhxkhw/edit?usp=sharing"",""ปราจีนบุรี!J47"")"),4)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IFERROR(__xludf.DUMMYFUNCTION("IMPORTRANGE(""https://docs.google.com/spreadsheets/d/1SX6NBoVAgQJ6U1MVXOaj8PK2l7WJ3RER9xtqwdhxkhw/edit?usp=sharing"",""ปราจีนบุรี!I48"")"),1)</f>
        <v>1</v>
      </c>
      <c r="J113" s="204">
        <f ca="1">IFERROR(__xludf.DUMMYFUNCTION("IMPORTRANGE(""https://docs.google.com/spreadsheets/d/1SX6NBoVAgQJ6U1MVXOaj8PK2l7WJ3RER9xtqwdhxkhw/edit?usp=sharing"",""ปราจีนบุรี!J48"")"),1)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IFERROR(__xludf.DUMMYFUNCTION("IMPORTRANGE(""https://docs.google.com/spreadsheets/d/1SX6NBoVAgQJ6U1MVXOaj8PK2l7WJ3RER9xtqwdhxkhw/edit?usp=sharing"",""ปราจีนบุรี!J49"")"),0)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IFERROR(__xludf.DUMMYFUNCTION("IMPORTRANGE(""https://docs.google.com/spreadsheets/d/1SX6NBoVAgQJ6U1MVXOaj8PK2l7WJ3RER9xtqwdhxkhw/edit?usp=sharing"",""ปราจีนบุรี!J50"")"),0)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IFERROR(__xludf.DUMMYFUNCTION("IMPORTRANGE(""https://docs.google.com/spreadsheets/d/1SX6NBoVAgQJ6U1MVXOaj8PK2l7WJ3RER9xtqwdhxkhw/edit?usp=sharing"",""ปราจีนบุรี!I52"")"),0)</f>
        <v>0</v>
      </c>
      <c r="J117" s="142">
        <f ca="1">IFERROR(__xludf.DUMMYFUNCTION("IMPORTRANGE(""https://docs.google.com/spreadsheets/d/1SX6NBoVAgQJ6U1MVXOaj8PK2l7WJ3RER9xtqwdhxkhw/edit?usp=sharing"",""ปราจีนบุรี!J52"")"),0)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IFERROR(__xludf.DUMMYFUNCTION("IMPORTRANGE(""https://docs.google.com/spreadsheets/d/1Yj_ptqi66GCucihVvJfMjLAmec39IyEx_6qawtMGysU/edit?usp=sharing"",""สบก!BA69"")"),0)</f>
        <v>0</v>
      </c>
      <c r="N122" s="169">
        <f ca="1">IFERROR(__xludf.DUMMYFUNCTION("IMPORTRANGE(""https://docs.google.com/spreadsheets/d/1Yj_ptqi66GCucihVvJfMjLAmec39IyEx_6qawtMGysU/edit?usp=sharing"",""สบก!BB69"")"),0)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IFERROR(__xludf.DUMMYFUNCTION("IMPORTRANGE(""https://docs.google.com/spreadsheets/d/1Yj_ptqi66GCucihVvJfMjLAmec39IyEx_6qawtMGysU/edit?usp=sharing"",""สบก!AW69"")"),0)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IFERROR(__xludf.DUMMYFUNCTION("IMPORTRANGE(""https://docs.google.com/spreadsheets/d/1Yj_ptqi66GCucihVvJfMjLAmec39IyEx_6qawtMGysU/edit?usp=sharing"",""สบก!AX69"")"),0)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IFERROR(__xludf.DUMMYFUNCTION("IMPORTRANGE(""https://docs.google.com/spreadsheets/d/1Yj_ptqi66GCucihVvJfMjLAmec39IyEx_6qawtMGysU/edit?usp=sharing"",""สบก!AY69"")"),0)</f>
        <v>0</v>
      </c>
      <c r="M126" s="49"/>
      <c r="N126" s="49">
        <f ca="1">IFERROR(__xludf.DUMMYFUNCTION("IMPORTRANGE(""https://docs.google.com/spreadsheets/d/1Yj_ptqi66GCucihVvJfMjLAmec39IyEx_6qawtMGysU/edit?usp=sharing"",""สบก!BC69"")"),0)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259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IFERROR(__xludf.DUMMYFUNCTION("IMPORTRANGE(""https://docs.google.com/spreadsheets/d/1SX6NBoVAgQJ6U1MVXOaj8PK2l7WJ3RER9xtqwdhxkhw/edit?usp=sharing"",""ปราจีนบุรี!J58"")"),0)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IFERROR(__xludf.DUMMYFUNCTION("IMPORTRANGE(""https://docs.google.com/spreadsheets/d/1SX6NBoVAgQJ6U1MVXOaj8PK2l7WJ3RER9xtqwdhxkhw/edit?usp=sharing"",""ปราจีนบุรี!J59"")"),0)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IFERROR(__xludf.DUMMYFUNCTION("IMPORTRANGE(""https://docs.google.com/spreadsheets/d/1SX6NBoVAgQJ6U1MVXOaj8PK2l7WJ3RER9xtqwdhxkhw/edit?usp=sharing"",""ปราจีนบุรี!J60"")"),0)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IFERROR(__xludf.DUMMYFUNCTION("IMPORTRANGE(""https://docs.google.com/spreadsheets/d/1SX6NBoVAgQJ6U1MVXOaj8PK2l7WJ3RER9xtqwdhxkhw/edit?usp=sharing"",""ปราจีนบุรี!J61"")"),0)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IFERROR(__xludf.DUMMYFUNCTION("IMPORTRANGE(""https://docs.google.com/spreadsheets/d/1SX6NBoVAgQJ6U1MVXOaj8PK2l7WJ3RER9xtqwdhxkhw/edit?usp=sharing"",""ปราจีนบุรี!I62"")"),0)</f>
        <v>0</v>
      </c>
      <c r="J132" s="204">
        <f ca="1">IFERROR(__xludf.DUMMYFUNCTION("IMPORTRANGE(""https://docs.google.com/spreadsheets/d/1SX6NBoVAgQJ6U1MVXOaj8PK2l7WJ3RER9xtqwdhxkhw/edit?usp=sharing"",""ปราจีนบุรี!J62"")"),0)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IFERROR(__xludf.DUMMYFUNCTION("IMPORTRANGE(""https://docs.google.com/spreadsheets/d/1SX6NBoVAgQJ6U1MVXOaj8PK2l7WJ3RER9xtqwdhxkhw/edit?usp=sharing"",""ปราจีนบุรี!I63"")"),0)</f>
        <v>0</v>
      </c>
      <c r="J133" s="204">
        <f ca="1">IFERROR(__xludf.DUMMYFUNCTION("IMPORTRANGE(""https://docs.google.com/spreadsheets/d/1SX6NBoVAgQJ6U1MVXOaj8PK2l7WJ3RER9xtqwdhxkhw/edit?usp=sharing"",""ปราจีนบุรี!J63"")"),0)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IFERROR(__xludf.DUMMYFUNCTION("IMPORTRANGE(""https://docs.google.com/spreadsheets/d/1SX6NBoVAgQJ6U1MVXOaj8PK2l7WJ3RER9xtqwdhxkhw/edit?usp=sharing"",""ปราจีนบุรี!J64"")"),0)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IFERROR(__xludf.DUMMYFUNCTION("IMPORTRANGE(""https://docs.google.com/spreadsheets/d/1SX6NBoVAgQJ6U1MVXOaj8PK2l7WJ3RER9xtqwdhxkhw/edit?usp=sharing"",""ปราจีนบุรี!J65"")"),0)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IFERROR(__xludf.DUMMYFUNCTION("IMPORTRANGE(""https://docs.google.com/spreadsheets/d/1SX6NBoVAgQJ6U1MVXOaj8PK2l7WJ3RER9xtqwdhxkhw/edit?usp=sharing"",""ปราจีนบุรี!I68"")"),20)</f>
        <v>20</v>
      </c>
      <c r="J138" s="267">
        <f ca="1">IFERROR(__xludf.DUMMYFUNCTION("IMPORTRANGE(""https://docs.google.com/spreadsheets/d/1SX6NBoVAgQJ6U1MVXOaj8PK2l7WJ3RER9xtqwdhxkhw/edit?usp=sharing"",""ปราจีนบุรี!J68"")"),20)</f>
        <v>20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431300</v>
      </c>
      <c r="M140" s="152">
        <f t="shared" ca="1" si="64"/>
        <v>347125</v>
      </c>
      <c r="N140" s="152">
        <f t="shared" ca="1" si="64"/>
        <v>237557</v>
      </c>
      <c r="O140" s="151">
        <f t="shared" ref="O140:O142" ca="1" si="65">IF(L140&gt;0,N140*100/L140,0)</f>
        <v>55.079295154185019</v>
      </c>
      <c r="P140" s="151">
        <f t="shared" ref="P140:P142" ca="1" si="66">IF(M140&gt;0,N140*100/M140,0)</f>
        <v>68.43557796182931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431300</v>
      </c>
      <c r="M142" s="157">
        <f t="shared" ca="1" si="68"/>
        <v>347125</v>
      </c>
      <c r="N142" s="157">
        <f t="shared" ca="1" si="68"/>
        <v>237557</v>
      </c>
      <c r="O142" s="156">
        <f t="shared" ca="1" si="65"/>
        <v>55.079295154185019</v>
      </c>
      <c r="P142" s="156">
        <f t="shared" ca="1" si="66"/>
        <v>68.43557796182931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431300</v>
      </c>
      <c r="M144" s="168">
        <f ca="1">IFERROR(__xludf.DUMMYFUNCTION("IMPORTRANGE(""https://docs.google.com/spreadsheets/d/1Yj_ptqi66GCucihVvJfMjLAmec39IyEx_6qawtMGysU/edit?usp=sharing"",""สบก!BJ69"")"),347125)</f>
        <v>347125</v>
      </c>
      <c r="N144" s="169">
        <f ca="1">IFERROR(__xludf.DUMMYFUNCTION("IMPORTRANGE(""https://docs.google.com/spreadsheets/d/1Yj_ptqi66GCucihVvJfMjLAmec39IyEx_6qawtMGysU/edit?usp=sharing"",""สบก!BK69"")"),237557)</f>
        <v>237557</v>
      </c>
      <c r="O144" s="169">
        <f ca="1">IF(L144&gt;0,N144*100/L144,0)</f>
        <v>55.079295154185019</v>
      </c>
      <c r="P144" s="169">
        <f ca="1">IF(M144&gt;0,N144*100/M144,0)</f>
        <v>68.43557796182931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IFERROR(__xludf.DUMMYFUNCTION("IMPORTRANGE(""https://docs.google.com/spreadsheets/d/1Yj_ptqi66GCucihVvJfMjLAmec39IyEx_6qawtMGysU/edit?usp=sharing"",""สบก!BF69"")"),305000)</f>
        <v>305000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IFERROR(__xludf.DUMMYFUNCTION("IMPORTRANGE(""https://docs.google.com/spreadsheets/d/1Yj_ptqi66GCucihVvJfMjLAmec39IyEx_6qawtMGysU/edit?usp=sharing"",""สบก!BG69"")"),126300)</f>
        <v>126300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IFERROR(__xludf.DUMMYFUNCTION("IMPORTRANGE(""https://docs.google.com/spreadsheets/d/1Yj_ptqi66GCucihVvJfMjLAmec39IyEx_6qawtMGysU/edit?usp=sharing"",""สบก!BH69"")"),0)</f>
        <v>0</v>
      </c>
      <c r="M148" s="49"/>
      <c r="N148" s="49">
        <f ca="1">IFERROR(__xludf.DUMMYFUNCTION("IMPORTRANGE(""https://docs.google.com/spreadsheets/d/1Yj_ptqi66GCucihVvJfMjLAmec39IyEx_6qawtMGysU/edit?usp=sharing"",""สบก!BL69"")"),0)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IFERROR(__xludf.DUMMYFUNCTION("IMPORTRANGE(""https://docs.google.com/spreadsheets/d/1SX6NBoVAgQJ6U1MVXOaj8PK2l7WJ3RER9xtqwdhxkhw/edit?usp=sharing"",""ปราจีนบุรี!I74"")"),4)</f>
        <v>4</v>
      </c>
      <c r="J149" s="275">
        <f ca="1">IFERROR(__xludf.DUMMYFUNCTION("IMPORTRANGE(""https://docs.google.com/spreadsheets/d/1SX6NBoVAgQJ6U1MVXOaj8PK2l7WJ3RER9xtqwdhxkhw/edit?usp=sharing"",""ปราจีนบุรี!J74"")"),1)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IFERROR(__xludf.DUMMYFUNCTION("IMPORTRANGE(""https://docs.google.com/spreadsheets/d/1SX6NBoVAgQJ6U1MVXOaj8PK2l7WJ3RER9xtqwdhxkhw/edit?usp=sharing"",""ปราจีนบุรี!J79"")"),0)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IFERROR(__xludf.DUMMYFUNCTION("IMPORTRANGE(""https://docs.google.com/spreadsheets/d/1SX6NBoVAgQJ6U1MVXOaj8PK2l7WJ3RER9xtqwdhxkhw/edit?usp=sharing"",""ปราจีนบุรี!J80"")"),1)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IFERROR(__xludf.DUMMYFUNCTION("IMPORTRANGE(""https://docs.google.com/spreadsheets/d/1SX6NBoVAgQJ6U1MVXOaj8PK2l7WJ3RER9xtqwdhxkhw/edit?usp=sharing"",""ปราจีนบุรี!J81"")"),1)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IFERROR(__xludf.DUMMYFUNCTION("IMPORTRANGE(""https://docs.google.com/spreadsheets/d/1SX6NBoVAgQJ6U1MVXOaj8PK2l7WJ3RER9xtqwdhxkhw/edit?usp=sharing"",""ปราจีนบุรี!J82"")"),1)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IFERROR(__xludf.DUMMYFUNCTION("IMPORTRANGE(""https://docs.google.com/spreadsheets/d/1SX6NBoVAgQJ6U1MVXOaj8PK2l7WJ3RER9xtqwdhxkhw/edit?usp=sharing"",""ปราจีนบุรี!I83"")"),4)</f>
        <v>4</v>
      </c>
      <c r="J158" s="189">
        <f ca="1">IFERROR(__xludf.DUMMYFUNCTION("IMPORTRANGE(""https://docs.google.com/spreadsheets/d/1SX6NBoVAgQJ6U1MVXOaj8PK2l7WJ3RER9xtqwdhxkhw/edit?usp=sharing"",""ปราจีนบุรี!J83"")"),1)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IFERROR(__xludf.DUMMYFUNCTION("IMPORTRANGE(""https://docs.google.com/spreadsheets/d/1SX6NBoVAgQJ6U1MVXOaj8PK2l7WJ3RER9xtqwdhxkhw/edit?usp=sharing"",""ปราจีนบุรี!J84"")"),21)</f>
        <v>21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IFERROR(__xludf.DUMMYFUNCTION("IMPORTRANGE(""https://docs.google.com/spreadsheets/d/1SX6NBoVAgQJ6U1MVXOaj8PK2l7WJ3RER9xtqwdhxkhw/edit?usp=sharing"",""ปราจีนบุรี!J85"")"),20)</f>
        <v>20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IFERROR(__xludf.DUMMYFUNCTION("IMPORTRANGE(""https://docs.google.com/spreadsheets/d/1SX6NBoVAgQJ6U1MVXOaj8PK2l7WJ3RER9xtqwdhxkhw/edit?usp=sharing"",""ปราจีนบุรี!J86"")"),1)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IFERROR(__xludf.DUMMYFUNCTION("IMPORTRANGE(""https://docs.google.com/spreadsheets/d/1SX6NBoVAgQJ6U1MVXOaj8PK2l7WJ3RER9xtqwdhxkhw/edit?usp=sharing"",""ปราจีนบุรี!J87"")"),0)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IFERROR(__xludf.DUMMYFUNCTION("IMPORTRANGE(""https://docs.google.com/spreadsheets/d/1SX6NBoVAgQJ6U1MVXOaj8PK2l7WJ3RER9xtqwdhxkhw/edit?usp=sharing"",""ปราจีนบุรี!J88"")"),0)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IFERROR(__xludf.DUMMYFUNCTION("IMPORTRANGE(""https://docs.google.com/spreadsheets/d/1SX6NBoVAgQJ6U1MVXOaj8PK2l7WJ3RER9xtqwdhxkhw/edit?usp=sharing"",""ปราจีนบุรี!I89"")"),3)</f>
        <v>3</v>
      </c>
      <c r="J164" s="284">
        <f ca="1">IFERROR(__xludf.DUMMYFUNCTION("IMPORTRANGE(""https://docs.google.com/spreadsheets/d/1SX6NBoVAgQJ6U1MVXOaj8PK2l7WJ3RER9xtqwdhxkhw/edit?usp=sharing"",""ปราจีนบุรี!J89"")"),3)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IFERROR(__xludf.DUMMYFUNCTION("IMPORTRANGE(""https://docs.google.com/spreadsheets/d/1SX6NBoVAgQJ6U1MVXOaj8PK2l7WJ3RER9xtqwdhxkhw/edit?usp=sharing"",""ปราจีนบุรี!J94"")"),0)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IFERROR(__xludf.DUMMYFUNCTION("IMPORTRANGE(""https://docs.google.com/spreadsheets/d/1SX6NBoVAgQJ6U1MVXOaj8PK2l7WJ3RER9xtqwdhxkhw/edit?usp=sharing"",""ปราจีนบุรี!J95"")"),1)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IFERROR(__xludf.DUMMYFUNCTION("IMPORTRANGE(""https://docs.google.com/spreadsheets/d/1SX6NBoVAgQJ6U1MVXOaj8PK2l7WJ3RER9xtqwdhxkhw/edit?usp=sharing"",""ปราจีนบุรี!J96"")"),1)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IFERROR(__xludf.DUMMYFUNCTION("IMPORTRANGE(""https://docs.google.com/spreadsheets/d/1SX6NBoVAgQJ6U1MVXOaj8PK2l7WJ3RER9xtqwdhxkhw/edit?usp=sharing"",""ปราจีนบุรี!J97"")"),1)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IFERROR(__xludf.DUMMYFUNCTION("IMPORTRANGE(""https://docs.google.com/spreadsheets/d/1SX6NBoVAgQJ6U1MVXOaj8PK2l7WJ3RER9xtqwdhxkhw/edit?usp=sharing"",""ปราจีนบุรี!I98"")"),3)</f>
        <v>3</v>
      </c>
      <c r="J173" s="189">
        <f ca="1">IFERROR(__xludf.DUMMYFUNCTION("IMPORTRANGE(""https://docs.google.com/spreadsheets/d/1SX6NBoVAgQJ6U1MVXOaj8PK2l7WJ3RER9xtqwdhxkhw/edit?usp=sharing"",""ปราจีนบุรี!J98"")"),3)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IFERROR(__xludf.DUMMYFUNCTION("IMPORTRANGE(""https://docs.google.com/spreadsheets/d/1SX6NBoVAgQJ6U1MVXOaj8PK2l7WJ3RER9xtqwdhxkhw/edit?usp=sharing"",""ปราจีนบุรี!J99"")"),0)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IFERROR(__xludf.DUMMYFUNCTION("IMPORTRANGE(""https://docs.google.com/spreadsheets/d/1SX6NBoVAgQJ6U1MVXOaj8PK2l7WJ3RER9xtqwdhxkhw/edit?usp=sharing"",""ปราจีนบุรี!J100"")"),0)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IFERROR(__xludf.DUMMYFUNCTION("IMPORTRANGE(""https://docs.google.com/spreadsheets/d/1SX6NBoVAgQJ6U1MVXOaj8PK2l7WJ3RER9xtqwdhxkhw/edit?usp=sharing"",""ปราจีนบุรี!I101"")"),0)</f>
        <v>0</v>
      </c>
      <c r="J176" s="284">
        <f ca="1">IFERROR(__xludf.DUMMYFUNCTION("IMPORTRANGE(""https://docs.google.com/spreadsheets/d/1SX6NBoVAgQJ6U1MVXOaj8PK2l7WJ3RER9xtqwdhxkhw/edit?usp=sharing"",""ปราจีนบุรี!J101"")"),0)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IFERROR(__xludf.DUMMYFUNCTION("IMPORTRANGE(""https://docs.google.com/spreadsheets/d/1SX6NBoVAgQJ6U1MVXOaj8PK2l7WJ3RER9xtqwdhxkhw/edit?usp=sharing"",""ปราจีนบุรี!J106"")"),0)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IFERROR(__xludf.DUMMYFUNCTION("IMPORTRANGE(""https://docs.google.com/spreadsheets/d/1SX6NBoVAgQJ6U1MVXOaj8PK2l7WJ3RER9xtqwdhxkhw/edit?usp=sharing"",""ปราจีนบุรี!J107"")"),0)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IFERROR(__xludf.DUMMYFUNCTION("IMPORTRANGE(""https://docs.google.com/spreadsheets/d/1SX6NBoVAgQJ6U1MVXOaj8PK2l7WJ3RER9xtqwdhxkhw/edit?usp=sharing"",""ปราจีนบุรี!J108"")"),0)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IFERROR(__xludf.DUMMYFUNCTION("IMPORTRANGE(""https://docs.google.com/spreadsheets/d/1SX6NBoVAgQJ6U1MVXOaj8PK2l7WJ3RER9xtqwdhxkhw/edit?usp=sharing"",""ปราจีนบุรี!J109"")"),0)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IFERROR(__xludf.DUMMYFUNCTION("IMPORTRANGE(""https://docs.google.com/spreadsheets/d/1SX6NBoVAgQJ6U1MVXOaj8PK2l7WJ3RER9xtqwdhxkhw/edit?usp=sharing"",""ปราจีนบุรี!I110"")"),0)</f>
        <v>0</v>
      </c>
      <c r="J185" s="204">
        <f ca="1">IFERROR(__xludf.DUMMYFUNCTION("IMPORTRANGE(""https://docs.google.com/spreadsheets/d/1SX6NBoVAgQJ6U1MVXOaj8PK2l7WJ3RER9xtqwdhxkhw/edit?usp=sharing"",""ปราจีนบุรี!J110"")"),0)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IFERROR(__xludf.DUMMYFUNCTION("IMPORTRANGE(""https://docs.google.com/spreadsheets/d/1SX6NBoVAgQJ6U1MVXOaj8PK2l7WJ3RER9xtqwdhxkhw/edit?usp=sharing"",""ปราจีนบุรี!I111"")"),0)</f>
        <v>0</v>
      </c>
      <c r="J186" s="204">
        <f ca="1">IFERROR(__xludf.DUMMYFUNCTION("IMPORTRANGE(""https://docs.google.com/spreadsheets/d/1SX6NBoVAgQJ6U1MVXOaj8PK2l7WJ3RER9xtqwdhxkhw/edit?usp=sharing"",""ปราจีนบุรี!J111"")"),0)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IFERROR(__xludf.DUMMYFUNCTION("IMPORTRANGE(""https://docs.google.com/spreadsheets/d/1SX6NBoVAgQJ6U1MVXOaj8PK2l7WJ3RER9xtqwdhxkhw/edit?usp=sharing"",""ปราจีนบุรี!J112"")"),0)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IFERROR(__xludf.DUMMYFUNCTION("IMPORTRANGE(""https://docs.google.com/spreadsheets/d/1SX6NBoVAgQJ6U1MVXOaj8PK2l7WJ3RER9xtqwdhxkhw/edit?usp=sharing"",""ปราจีนบุรี!J113"")"),0)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IFERROR(__xludf.DUMMYFUNCTION("IMPORTRANGE(""https://docs.google.com/spreadsheets/d/1SX6NBoVAgQJ6U1MVXOaj8PK2l7WJ3RER9xtqwdhxkhw/edit?usp=sharing"",""ปราจีนบุรี!I114"")"),20000)</f>
        <v>20000</v>
      </c>
      <c r="J189" s="284">
        <f ca="1">IFERROR(__xludf.DUMMYFUNCTION("IMPORTRANGE(""https://docs.google.com/spreadsheets/d/1SX6NBoVAgQJ6U1MVXOaj8PK2l7WJ3RER9xtqwdhxkhw/edit?usp=sharing"",""ปราจีนบุรี!J114"")"),0)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IFERROR(__xludf.DUMMYFUNCTION("IMPORTRANGE(""https://docs.google.com/spreadsheets/d/1SX6NBoVAgQJ6U1MVXOaj8PK2l7WJ3RER9xtqwdhxkhw/edit?usp=sharing"",""ปราจีนบุรี!J119"")"),1)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IFERROR(__xludf.DUMMYFUNCTION("IMPORTRANGE(""https://docs.google.com/spreadsheets/d/1SX6NBoVAgQJ6U1MVXOaj8PK2l7WJ3RER9xtqwdhxkhw/edit?usp=sharing"",""ปราจีนบุรี!J120"")"),0)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IFERROR(__xludf.DUMMYFUNCTION("IMPORTRANGE(""https://docs.google.com/spreadsheets/d/1SX6NBoVAgQJ6U1MVXOaj8PK2l7WJ3RER9xtqwdhxkhw/edit?usp=sharing"",""ปราจีนบุรี!J121"")"),0)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IFERROR(__xludf.DUMMYFUNCTION("IMPORTRANGE(""https://docs.google.com/spreadsheets/d/1SX6NBoVAgQJ6U1MVXOaj8PK2l7WJ3RER9xtqwdhxkhw/edit?usp=sharing"",""ปราจีนบุรี!J122"")"),0)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IFERROR(__xludf.DUMMYFUNCTION("IMPORTRANGE(""https://docs.google.com/spreadsheets/d/1SX6NBoVAgQJ6U1MVXOaj8PK2l7WJ3RER9xtqwdhxkhw/edit?usp=sharing"",""ปราจีนบุรี!I124"")"),20000)</f>
        <v>20000</v>
      </c>
      <c r="J199" s="189">
        <f ca="1">IFERROR(__xludf.DUMMYFUNCTION("IMPORTRANGE(""https://docs.google.com/spreadsheets/d/1SX6NBoVAgQJ6U1MVXOaj8PK2l7WJ3RER9xtqwdhxkhw/edit?usp=sharing"",""ปราจีนบุรี!J124"")"),0)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IFERROR(__xludf.DUMMYFUNCTION("IMPORTRANGE(""https://docs.google.com/spreadsheets/d/1SX6NBoVAgQJ6U1MVXOaj8PK2l7WJ3RER9xtqwdhxkhw/edit?usp=sharing"",""ปราจีนบุรี!I125"")"),20000)</f>
        <v>20000</v>
      </c>
      <c r="J200" s="189">
        <f ca="1">IFERROR(__xludf.DUMMYFUNCTION("IMPORTRANGE(""https://docs.google.com/spreadsheets/d/1SX6NBoVAgQJ6U1MVXOaj8PK2l7WJ3RER9xtqwdhxkhw/edit?usp=sharing"",""ปราจีนบุรี!J125"")"),0)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IFERROR(__xludf.DUMMYFUNCTION("IMPORTRANGE(""https://docs.google.com/spreadsheets/d/1SX6NBoVAgQJ6U1MVXOaj8PK2l7WJ3RER9xtqwdhxkhw/edit?usp=sharing"",""ปราจีนบุรี!I126"")"),0)</f>
        <v>0</v>
      </c>
      <c r="J201" s="189">
        <f ca="1">IFERROR(__xludf.DUMMYFUNCTION("IMPORTRANGE(""https://docs.google.com/spreadsheets/d/1SX6NBoVAgQJ6U1MVXOaj8PK2l7WJ3RER9xtqwdhxkhw/edit?usp=sharing"",""ปราจีนบุรี!J126"")"),0)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IFERROR(__xludf.DUMMYFUNCTION("IMPORTRANGE(""https://docs.google.com/spreadsheets/d/1SX6NBoVAgQJ6U1MVXOaj8PK2l7WJ3RER9xtqwdhxkhw/edit?usp=sharing"",""ปราจีนบุรี!J127"")"),0)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IFERROR(__xludf.DUMMYFUNCTION("IMPORTRANGE(""https://docs.google.com/spreadsheets/d/1SX6NBoVAgQJ6U1MVXOaj8PK2l7WJ3RER9xtqwdhxkhw/edit?usp=sharing"",""ปราจีนบุรี!J128"")"),0)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IFERROR(__xludf.DUMMYFUNCTION("IMPORTRANGE(""https://docs.google.com/spreadsheets/d/1SX6NBoVAgQJ6U1MVXOaj8PK2l7WJ3RER9xtqwdhxkhw/edit?usp=sharing"",""ปราจีนบุรี!I129"")"),20)</f>
        <v>20</v>
      </c>
      <c r="J204" s="284">
        <f ca="1">IFERROR(__xludf.DUMMYFUNCTION("IMPORTRANGE(""https://docs.google.com/spreadsheets/d/1SX6NBoVAgQJ6U1MVXOaj8PK2l7WJ3RER9xtqwdhxkhw/edit?usp=sharing"",""ปราจีนบุรี!J129"")"),20)</f>
        <v>20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IFERROR(__xludf.DUMMYFUNCTION("IMPORTRANGE(""https://docs.google.com/spreadsheets/d/1SX6NBoVAgQJ6U1MVXOaj8PK2l7WJ3RER9xtqwdhxkhw/edit?usp=sharing"",""ปราจีนบุรี!J134"")"),0)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IFERROR(__xludf.DUMMYFUNCTION("IMPORTRANGE(""https://docs.google.com/spreadsheets/d/1SX6NBoVAgQJ6U1MVXOaj8PK2l7WJ3RER9xtqwdhxkhw/edit?usp=sharing"",""ปราจีนบุรี!J135"")"),1)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IFERROR(__xludf.DUMMYFUNCTION("IMPORTRANGE(""https://docs.google.com/spreadsheets/d/1SX6NBoVAgQJ6U1MVXOaj8PK2l7WJ3RER9xtqwdhxkhw/edit?usp=sharing"",""ปราจีนบุรี!J136"")"),1)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IFERROR(__xludf.DUMMYFUNCTION("IMPORTRANGE(""https://docs.google.com/spreadsheets/d/1SX6NBoVAgQJ6U1MVXOaj8PK2l7WJ3RER9xtqwdhxkhw/edit?usp=sharing"",""ปราจีนบุรี!J137"")"),1)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IFERROR(__xludf.DUMMYFUNCTION("IMPORTRANGE(""https://docs.google.com/spreadsheets/d/1SX6NBoVAgQJ6U1MVXOaj8PK2l7WJ3RER9xtqwdhxkhw/edit?usp=sharing"",""ปราจีนบุรี!I138"")"),20)</f>
        <v>20</v>
      </c>
      <c r="J213" s="204">
        <f ca="1">IFERROR(__xludf.DUMMYFUNCTION("IMPORTRANGE(""https://docs.google.com/spreadsheets/d/1SX6NBoVAgQJ6U1MVXOaj8PK2l7WJ3RER9xtqwdhxkhw/edit?usp=sharing"",""ปราจีนบุรี!J138"")"),20)</f>
        <v>20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IFERROR(__xludf.DUMMYFUNCTION("IMPORTRANGE(""https://docs.google.com/spreadsheets/d/1SX6NBoVAgQJ6U1MVXOaj8PK2l7WJ3RER9xtqwdhxkhw/edit?usp=sharing"",""ปราจีนบุรี!I140"")"),0)</f>
        <v>0</v>
      </c>
      <c r="J215" s="204">
        <f ca="1">IFERROR(__xludf.DUMMYFUNCTION("IMPORTRANGE(""https://docs.google.com/spreadsheets/d/1SX6NBoVAgQJ6U1MVXOaj8PK2l7WJ3RER9xtqwdhxkhw/edit?usp=sharing"",""ปราจีนบุรี!J140"")"),0)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IFERROR(__xludf.DUMMYFUNCTION("IMPORTRANGE(""https://docs.google.com/spreadsheets/d/1SX6NBoVAgQJ6U1MVXOaj8PK2l7WJ3RER9xtqwdhxkhw/edit?usp=sharing"",""ปราจีนบุรี!I141"")"),1)</f>
        <v>1</v>
      </c>
      <c r="J216" s="204">
        <f ca="1">IFERROR(__xludf.DUMMYFUNCTION("IMPORTRANGE(""https://docs.google.com/spreadsheets/d/1SX6NBoVAgQJ6U1MVXOaj8PK2l7WJ3RER9xtqwdhxkhw/edit?usp=sharing"",""ปราจีนบุรี!J141"")"),0)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IFERROR(__xludf.DUMMYFUNCTION("IMPORTRANGE(""https://docs.google.com/spreadsheets/d/1SX6NBoVAgQJ6U1MVXOaj8PK2l7WJ3RER9xtqwdhxkhw/edit?usp=sharing"",""ปราจีนบุรี!J142"")"),0)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IFERROR(__xludf.DUMMYFUNCTION("IMPORTRANGE(""https://docs.google.com/spreadsheets/d/1SX6NBoVAgQJ6U1MVXOaj8PK2l7WJ3RER9xtqwdhxkhw/edit?usp=sharing"",""ปราจีนบุรี!J143"")"),0)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IFERROR(__xludf.DUMMYFUNCTION("IMPORTRANGE(""https://docs.google.com/spreadsheets/d/1SX6NBoVAgQJ6U1MVXOaj8PK2l7WJ3RER9xtqwdhxkhw/edit?usp=sharing"",""ปราจีนบุรี!I144"")"),15)</f>
        <v>15</v>
      </c>
      <c r="J219" s="267">
        <f ca="1">IFERROR(__xludf.DUMMYFUNCTION("IMPORTRANGE(""https://docs.google.com/spreadsheets/d/1SX6NBoVAgQJ6U1MVXOaj8PK2l7WJ3RER9xtqwdhxkhw/edit?usp=sharing"",""ปราจีนบุรี!J144"")"),15)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IFERROR(__xludf.DUMMYFUNCTION("IMPORTRANGE(""https://docs.google.com/spreadsheets/d/1Yj_ptqi66GCucihVvJfMjLAmec39IyEx_6qawtMGysU/edit?usp=sharing"",""สบก!BS69"")"),21125)</f>
        <v>21125</v>
      </c>
      <c r="N224" s="169">
        <f ca="1">IFERROR(__xludf.DUMMYFUNCTION("IMPORTRANGE(""https://docs.google.com/spreadsheets/d/1Yj_ptqi66GCucihVvJfMjLAmec39IyEx_6qawtMGysU/edit?usp=sharing"",""สบก!BT69"")"),21125)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IFERROR(__xludf.DUMMYFUNCTION("IMPORTRANGE(""https://docs.google.com/spreadsheets/d/1Yj_ptqi66GCucihVvJfMjLAmec39IyEx_6qawtMGysU/edit?usp=sharing"",""สบก!BO69"")"),0)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IFERROR(__xludf.DUMMYFUNCTION("IMPORTRANGE(""https://docs.google.com/spreadsheets/d/1Yj_ptqi66GCucihVvJfMjLAmec39IyEx_6qawtMGysU/edit?usp=sharing"",""สบก!BP69"")"),21125)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IFERROR(__xludf.DUMMYFUNCTION("IMPORTRANGE(""https://docs.google.com/spreadsheets/d/1Yj_ptqi66GCucihVvJfMjLAmec39IyEx_6qawtMGysU/edit?usp=sharing"",""สบก!BQ69"")"),0)</f>
        <v>0</v>
      </c>
      <c r="M228" s="49"/>
      <c r="N228" s="49">
        <f ca="1">IFERROR(__xludf.DUMMYFUNCTION("IMPORTRANGE(""https://docs.google.com/spreadsheets/d/1Yj_ptqi66GCucihVvJfMjLAmec39IyEx_6qawtMGysU/edit?usp=sharing"",""สบก!BU69"")"),0)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IFERROR(__xludf.DUMMYFUNCTION("IMPORTRANGE(""https://docs.google.com/spreadsheets/d/1SX6NBoVAgQJ6U1MVXOaj8PK2l7WJ3RER9xtqwdhxkhw/edit?usp=sharing"",""ปราจีนบุรี!I149"")"),15)</f>
        <v>15</v>
      </c>
      <c r="J229" s="267">
        <f ca="1">IFERROR(__xludf.DUMMYFUNCTION("IMPORTRANGE(""https://docs.google.com/spreadsheets/d/1SX6NBoVAgQJ6U1MVXOaj8PK2l7WJ3RER9xtqwdhxkhw/edit?usp=sharing"",""ปราจีนบุรี!J149"")"),15)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IFERROR(__xludf.DUMMYFUNCTION("IMPORTRANGE(""https://docs.google.com/spreadsheets/d/1SX6NBoVAgQJ6U1MVXOaj8PK2l7WJ3RER9xtqwdhxkhw/edit?usp=sharing"",""ปราจีนบุรี!J151"")"),0)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IFERROR(__xludf.DUMMYFUNCTION("IMPORTRANGE(""https://docs.google.com/spreadsheets/d/1SX6NBoVAgQJ6U1MVXOaj8PK2l7WJ3RER9xtqwdhxkhw/edit?usp=sharing"",""ปราจีนบุรี!J152"")"),1)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IFERROR(__xludf.DUMMYFUNCTION("IMPORTRANGE(""https://docs.google.com/spreadsheets/d/1SX6NBoVAgQJ6U1MVXOaj8PK2l7WJ3RER9xtqwdhxkhw/edit?usp=sharing"",""ปราจีนบุรี!J153"")"),1)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IFERROR(__xludf.DUMMYFUNCTION("IMPORTRANGE(""https://docs.google.com/spreadsheets/d/1SX6NBoVAgQJ6U1MVXOaj8PK2l7WJ3RER9xtqwdhxkhw/edit?usp=sharing"",""ปราจีนบุรี!J154"")"),1)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IFERROR(__xludf.DUMMYFUNCTION("IMPORTRANGE(""https://docs.google.com/spreadsheets/d/1SX6NBoVAgQJ6U1MVXOaj8PK2l7WJ3RER9xtqwdhxkhw/edit?usp=sharing"",""ปราจีนบุรี!I155"")"),15)</f>
        <v>15</v>
      </c>
      <c r="J235" s="189">
        <f ca="1">IFERROR(__xludf.DUMMYFUNCTION("IMPORTRANGE(""https://docs.google.com/spreadsheets/d/1SX6NBoVAgQJ6U1MVXOaj8PK2l7WJ3RER9xtqwdhxkhw/edit?usp=sharing"",""ปราจีนบุรี!J155"")"),15)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IFERROR(__xludf.DUMMYFUNCTION("IMPORTRANGE(""https://docs.google.com/spreadsheets/d/1SX6NBoVAgQJ6U1MVXOaj8PK2l7WJ3RER9xtqwdhxkhw/edit?usp=sharing"",""ปราจีนบุรี!J156"")"),0)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IFERROR(__xludf.DUMMYFUNCTION("IMPORTRANGE(""https://docs.google.com/spreadsheets/d/1SX6NBoVAgQJ6U1MVXOaj8PK2l7WJ3RER9xtqwdhxkhw/edit?usp=sharing"",""ปราจีนบุรี!J157"")"),0)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IFERROR(__xludf.DUMMYFUNCTION("IMPORTRANGE(""https://docs.google.com/spreadsheets/d/1SX6NBoVAgQJ6U1MVXOaj8PK2l7WJ3RER9xtqwdhxkhw/edit?usp=sharing"",""ปราจีนบุรี!I158"")"),0)</f>
        <v>0</v>
      </c>
      <c r="J238" s="267">
        <f ca="1">IFERROR(__xludf.DUMMYFUNCTION("IMPORTRANGE(""https://docs.google.com/spreadsheets/d/1SX6NBoVAgQJ6U1MVXOaj8PK2l7WJ3RER9xtqwdhxkhw/edit?usp=sharing"",""ปราจีนบุรี!J158"")"),0)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IFERROR(__xludf.DUMMYFUNCTION("IMPORTRANGE(""https://docs.google.com/spreadsheets/d/1SX6NBoVAgQJ6U1MVXOaj8PK2l7WJ3RER9xtqwdhxkhw/edit?usp=sharing"",""ปราจีนบุรี!J159"")"),"")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IFERROR(__xludf.DUMMYFUNCTION("IMPORTRANGE(""https://docs.google.com/spreadsheets/d/1SX6NBoVAgQJ6U1MVXOaj8PK2l7WJ3RER9xtqwdhxkhw/edit?usp=sharing"",""ปราจีนบุรี!J161"")"),0)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IFERROR(__xludf.DUMMYFUNCTION("IMPORTRANGE(""https://docs.google.com/spreadsheets/d/1SX6NBoVAgQJ6U1MVXOaj8PK2l7WJ3RER9xtqwdhxkhw/edit?usp=sharing"",""ปราจีนบุรี!J162"")"),0)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IFERROR(__xludf.DUMMYFUNCTION("IMPORTRANGE(""https://docs.google.com/spreadsheets/d/1SX6NBoVAgQJ6U1MVXOaj8PK2l7WJ3RER9xtqwdhxkhw/edit?usp=sharing"",""ปราจีนบุรี!J163"")"),0)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IFERROR(__xludf.DUMMYFUNCTION("IMPORTRANGE(""https://docs.google.com/spreadsheets/d/1SX6NBoVAgQJ6U1MVXOaj8PK2l7WJ3RER9xtqwdhxkhw/edit?usp=sharing"",""ปราจีนบุรี!I164"")"),0)</f>
        <v>0</v>
      </c>
      <c r="J244" s="188">
        <f ca="1">IFERROR(__xludf.DUMMYFUNCTION("IMPORTRANGE(""https://docs.google.com/spreadsheets/d/1SX6NBoVAgQJ6U1MVXOaj8PK2l7WJ3RER9xtqwdhxkhw/edit?usp=sharing"",""ปราจีนบุรี!J164"")"),0)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IFERROR(__xludf.DUMMYFUNCTION("IMPORTRANGE(""https://docs.google.com/spreadsheets/d/1SX6NBoVAgQJ6U1MVXOaj8PK2l7WJ3RER9xtqwdhxkhw/edit?usp=sharing"",""ปราจีนบุรี!J165"")"),0)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IFERROR(__xludf.DUMMYFUNCTION("IMPORTRANGE(""https://docs.google.com/spreadsheets/d/1SX6NBoVAgQJ6U1MVXOaj8PK2l7WJ3RER9xtqwdhxkhw/edit?usp=sharing"",""ปราจีนบุรี!J166"")"),0)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IFERROR(__xludf.DUMMYFUNCTION("IMPORTRANGE(""https://docs.google.com/spreadsheets/d/1SX6NBoVAgQJ6U1MVXOaj8PK2l7WJ3RER9xtqwdhxkhw/edit?usp=sharing"",""ปราจีนบุรี!I169"")"),20)</f>
        <v>20</v>
      </c>
      <c r="J249" s="316">
        <f ca="1">IFERROR(__xludf.DUMMYFUNCTION("IMPORTRANGE(""https://docs.google.com/spreadsheets/d/1SX6NBoVAgQJ6U1MVXOaj8PK2l7WJ3RER9xtqwdhxkhw/edit?usp=sharing"",""ปราจีนบุรี!J169"")"),20)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28900</v>
      </c>
      <c r="O250" s="151">
        <f t="shared" ref="O250:O252" ca="1" si="78">IF(L250&gt;0,N250*100/L250,0)</f>
        <v>40.476190476190474</v>
      </c>
      <c r="P250" s="151">
        <f t="shared" ref="P250:P252" ca="1" si="79">IF(M250&gt;0,N250*100/M250,0)</f>
        <v>68.80952380952381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28900</v>
      </c>
      <c r="O252" s="156">
        <f t="shared" ca="1" si="78"/>
        <v>40.476190476190474</v>
      </c>
      <c r="P252" s="156">
        <f t="shared" ca="1" si="79"/>
        <v>68.80952380952381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IFERROR(__xludf.DUMMYFUNCTION("IMPORTRANGE(""https://docs.google.com/spreadsheets/d/1Yj_ptqi66GCucihVvJfMjLAmec39IyEx_6qawtMGysU/edit?usp=sharing"",""สบก!CB69"")"),42000)</f>
        <v>42000</v>
      </c>
      <c r="N254" s="169">
        <f ca="1">IFERROR(__xludf.DUMMYFUNCTION("IMPORTRANGE(""https://docs.google.com/spreadsheets/d/1Yj_ptqi66GCucihVvJfMjLAmec39IyEx_6qawtMGysU/edit?usp=sharing"",""สบก!CC69"")"),28900)</f>
        <v>28900</v>
      </c>
      <c r="O254" s="169">
        <f ca="1">IF(L254&gt;0,N254*100/L254,0)</f>
        <v>40.476190476190474</v>
      </c>
      <c r="P254" s="169">
        <f ca="1">IF(M254&gt;0,N254*100/M254,0)</f>
        <v>68.80952380952381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IFERROR(__xludf.DUMMYFUNCTION("IMPORTRANGE(""https://docs.google.com/spreadsheets/d/1Yj_ptqi66GCucihVvJfMjLAmec39IyEx_6qawtMGysU/edit?usp=sharing"",""สบก!BX69"")"),0)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IFERROR(__xludf.DUMMYFUNCTION("IMPORTRANGE(""https://docs.google.com/spreadsheets/d/1Yj_ptqi66GCucihVvJfMjLAmec39IyEx_6qawtMGysU/edit?usp=sharing"",""สบก!BY69"")"),71400)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IFERROR(__xludf.DUMMYFUNCTION("IMPORTRANGE(""https://docs.google.com/spreadsheets/d/1Yj_ptqi66GCucihVvJfMjLAmec39IyEx_6qawtMGysU/edit?usp=sharing"",""สบก!BZ69"")"),0)</f>
        <v>0</v>
      </c>
      <c r="M258" s="49"/>
      <c r="N258" s="49">
        <f ca="1">IFERROR(__xludf.DUMMYFUNCTION("IMPORTRANGE(""https://docs.google.com/spreadsheets/d/1Yj_ptqi66GCucihVvJfMjLAmec39IyEx_6qawtMGysU/edit?usp=sharing"",""สบก!CD69"")"),0)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IFERROR(__xludf.DUMMYFUNCTION("IMPORTRANGE(""https://docs.google.com/spreadsheets/d/1SX6NBoVAgQJ6U1MVXOaj8PK2l7WJ3RER9xtqwdhxkhw/edit?usp=sharing"",""ปราจีนบุรี!J175"")"),0)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IFERROR(__xludf.DUMMYFUNCTION("IMPORTRANGE(""https://docs.google.com/spreadsheets/d/1SX6NBoVAgQJ6U1MVXOaj8PK2l7WJ3RER9xtqwdhxkhw/edit?usp=sharing"",""ปราจีนบุรี!J176"")"),1)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IFERROR(__xludf.DUMMYFUNCTION("IMPORTRANGE(""https://docs.google.com/spreadsheets/d/1SX6NBoVAgQJ6U1MVXOaj8PK2l7WJ3RER9xtqwdhxkhw/edit?usp=sharing"",""ปราจีนบุรี!J177"")"),1)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IFERROR(__xludf.DUMMYFUNCTION("IMPORTRANGE(""https://docs.google.com/spreadsheets/d/1SX6NBoVAgQJ6U1MVXOaj8PK2l7WJ3RER9xtqwdhxkhw/edit?usp=sharing"",""ปราจีนบุรี!J178"")"),0)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IFERROR(__xludf.DUMMYFUNCTION("IMPORTRANGE(""https://docs.google.com/spreadsheets/d/1SX6NBoVAgQJ6U1MVXOaj8PK2l7WJ3RER9xtqwdhxkhw/edit?usp=sharing"",""ปราจีนบุรี!I179"")"),1)</f>
        <v>1</v>
      </c>
      <c r="J264" s="189">
        <f ca="1">IFERROR(__xludf.DUMMYFUNCTION("IMPORTRANGE(""https://docs.google.com/spreadsheets/d/1SX6NBoVAgQJ6U1MVXOaj8PK2l7WJ3RER9xtqwdhxkhw/edit?usp=sharing"",""ปราจีนบุรี!J179"")"),1)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IFERROR(__xludf.DUMMYFUNCTION("IMPORTRANGE(""https://docs.google.com/spreadsheets/d/1SX6NBoVAgQJ6U1MVXOaj8PK2l7WJ3RER9xtqwdhxkhw/edit?usp=sharing"",""ปราจีนบุรี!I180"")"),20)</f>
        <v>20</v>
      </c>
      <c r="J265" s="189">
        <f ca="1">IFERROR(__xludf.DUMMYFUNCTION("IMPORTRANGE(""https://docs.google.com/spreadsheets/d/1SX6NBoVAgQJ6U1MVXOaj8PK2l7WJ3RER9xtqwdhxkhw/edit?usp=sharing"",""ปราจีนบุรี!J180"")"),20)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IFERROR(__xludf.DUMMYFUNCTION("IMPORTRANGE(""https://docs.google.com/spreadsheets/d/1SX6NBoVAgQJ6U1MVXOaj8PK2l7WJ3RER9xtqwdhxkhw/edit?usp=sharing"",""ปราจีนบุรี!I181"")"),20)</f>
        <v>20</v>
      </c>
      <c r="J266" s="189">
        <f ca="1">IFERROR(__xludf.DUMMYFUNCTION("IMPORTRANGE(""https://docs.google.com/spreadsheets/d/1SX6NBoVAgQJ6U1MVXOaj8PK2l7WJ3RER9xtqwdhxkhw/edit?usp=sharing"",""ปราจีนบุรี!J181"")"),0)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IFERROR(__xludf.DUMMYFUNCTION("IMPORTRANGE(""https://docs.google.com/spreadsheets/d/1SX6NBoVAgQJ6U1MVXOaj8PK2l7WJ3RER9xtqwdhxkhw/edit?usp=sharing"",""ปราจีนบุรี!I182"")"),1)</f>
        <v>1</v>
      </c>
      <c r="J267" s="189">
        <f ca="1">IFERROR(__xludf.DUMMYFUNCTION("IMPORTRANGE(""https://docs.google.com/spreadsheets/d/1SX6NBoVAgQJ6U1MVXOaj8PK2l7WJ3RER9xtqwdhxkhw/edit?usp=sharing"",""ปราจีนบุรี!J182"")"),0)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IFERROR(__xludf.DUMMYFUNCTION("IMPORTRANGE(""https://docs.google.com/spreadsheets/d/1SX6NBoVAgQJ6U1MVXOaj8PK2l7WJ3RER9xtqwdhxkhw/edit?usp=sharing"",""ปราจีนบุรี!J183"")"),0)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IFERROR(__xludf.DUMMYFUNCTION("IMPORTRANGE(""https://docs.google.com/spreadsheets/d/1SX6NBoVAgQJ6U1MVXOaj8PK2l7WJ3RER9xtqwdhxkhw/edit?usp=sharing"",""ปราจีนบุรี!J184"")"),0)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IFERROR(__xludf.DUMMYFUNCTION("IMPORTRANGE(""https://docs.google.com/spreadsheets/d/1SX6NBoVAgQJ6U1MVXOaj8PK2l7WJ3RER9xtqwdhxkhw/edit?usp=sharing"",""ปราจีนบุรี!I185"")"),0)</f>
        <v>0</v>
      </c>
      <c r="J270" s="316">
        <f ca="1">IFERROR(__xludf.DUMMYFUNCTION("IMPORTRANGE(""https://docs.google.com/spreadsheets/d/1SX6NBoVAgQJ6U1MVXOaj8PK2l7WJ3RER9xtqwdhxkhw/edit?usp=sharing"",""ปราจีนบุรี!J185"")"),0)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IFERROR(__xludf.DUMMYFUNCTION("IMPORTRANGE(""https://docs.google.com/spreadsheets/d/1Yj_ptqi66GCucihVvJfMjLAmec39IyEx_6qawtMGysU/edit?usp=sharing"",""สบก!CK69"")"),0)</f>
        <v>0</v>
      </c>
      <c r="N275" s="169">
        <f ca="1">IFERROR(__xludf.DUMMYFUNCTION("IMPORTRANGE(""https://docs.google.com/spreadsheets/d/1Yj_ptqi66GCucihVvJfMjLAmec39IyEx_6qawtMGysU/edit?usp=sharing"",""สบก!CL69"")"),0)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IFERROR(__xludf.DUMMYFUNCTION("IMPORTRANGE(""https://docs.google.com/spreadsheets/d/1Yj_ptqi66GCucihVvJfMjLAmec39IyEx_6qawtMGysU/edit?usp=sharing"",""สบก!CG69"")"),0)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IFERROR(__xludf.DUMMYFUNCTION("IMPORTRANGE(""https://docs.google.com/spreadsheets/d/1Yj_ptqi66GCucihVvJfMjLAmec39IyEx_6qawtMGysU/edit?usp=sharing"",""สบก!CH69"")"),0)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IFERROR(__xludf.DUMMYFUNCTION("IMPORTRANGE(""https://docs.google.com/spreadsheets/d/1Yj_ptqi66GCucihVvJfMjLAmec39IyEx_6qawtMGysU/edit?usp=sharing"",""สบก!CI69"")"),0)</f>
        <v>0</v>
      </c>
      <c r="M279" s="49"/>
      <c r="N279" s="49">
        <f ca="1">IFERROR(__xludf.DUMMYFUNCTION("IMPORTRANGE(""https://docs.google.com/spreadsheets/d/1Yj_ptqi66GCucihVvJfMjLAmec39IyEx_6qawtMGysU/edit?usp=sharing"",""สบก!CM69"")"),0)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IFERROR(__xludf.DUMMYFUNCTION("IMPORTRANGE(""https://docs.google.com/spreadsheets/d/1SX6NBoVAgQJ6U1MVXOaj8PK2l7WJ3RER9xtqwdhxkhw/edit?usp=sharing"",""ปราจีนบุรี!J191"")"),0)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IFERROR(__xludf.DUMMYFUNCTION("IMPORTRANGE(""https://docs.google.com/spreadsheets/d/1SX6NBoVAgQJ6U1MVXOaj8PK2l7WJ3RER9xtqwdhxkhw/edit?usp=sharing"",""ปราจีนบุรี!J192"")"),0)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IFERROR(__xludf.DUMMYFUNCTION("IMPORTRANGE(""https://docs.google.com/spreadsheets/d/1SX6NBoVAgQJ6U1MVXOaj8PK2l7WJ3RER9xtqwdhxkhw/edit?usp=sharing"",""ปราจีนบุรี!J193"")"),0)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IFERROR(__xludf.DUMMYFUNCTION("IMPORTRANGE(""https://docs.google.com/spreadsheets/d/1SX6NBoVAgQJ6U1MVXOaj8PK2l7WJ3RER9xtqwdhxkhw/edit?usp=sharing"",""ปราจีนบุรี!J194"")"),0)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IFERROR(__xludf.DUMMYFUNCTION("IMPORTRANGE(""https://docs.google.com/spreadsheets/d/1SX6NBoVAgQJ6U1MVXOaj8PK2l7WJ3RER9xtqwdhxkhw/edit?usp=sharing"",""ปราจีนบุรี!I195"")"),0)</f>
        <v>0</v>
      </c>
      <c r="J285" s="189">
        <f ca="1">IFERROR(__xludf.DUMMYFUNCTION("IMPORTRANGE(""https://docs.google.com/spreadsheets/d/1SX6NBoVAgQJ6U1MVXOaj8PK2l7WJ3RER9xtqwdhxkhw/edit?usp=sharing"",""ปราจีนบุรี!J195"")"),0)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IFERROR(__xludf.DUMMYFUNCTION("IMPORTRANGE(""https://docs.google.com/spreadsheets/d/1SX6NBoVAgQJ6U1MVXOaj8PK2l7WJ3RER9xtqwdhxkhw/edit?usp=sharing"",""ปราจีนบุรี!J196"")"),0)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IFERROR(__xludf.DUMMYFUNCTION("IMPORTRANGE(""https://docs.google.com/spreadsheets/d/1SX6NBoVAgQJ6U1MVXOaj8PK2l7WJ3RER9xtqwdhxkhw/edit?usp=sharing"",""ปราจีนบุรี!J197"")"),0)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IFERROR(__xludf.DUMMYFUNCTION("IMPORTRANGE(""https://docs.google.com/spreadsheets/d/1SX6NBoVAgQJ6U1MVXOaj8PK2l7WJ3RER9xtqwdhxkhw/edit?usp=sharing"",""ปราจีนบุรี!I199"")"),0)</f>
        <v>0</v>
      </c>
      <c r="J289" s="316">
        <f ca="1">IFERROR(__xludf.DUMMYFUNCTION("IMPORTRANGE(""https://docs.google.com/spreadsheets/d/1SX6NBoVAgQJ6U1MVXOaj8PK2l7WJ3RER9xtqwdhxkhw/edit?usp=sharing"",""ปราจีนบุรี!J199"")"),0)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IFERROR(__xludf.DUMMYFUNCTION("IMPORTRANGE(""https://docs.google.com/spreadsheets/d/1Yj_ptqi66GCucihVvJfMjLAmec39IyEx_6qawtMGysU/edit?usp=sharing"",""สบก!CT69"")"),0)</f>
        <v>0</v>
      </c>
      <c r="N294" s="169">
        <f ca="1">IFERROR(__xludf.DUMMYFUNCTION("IMPORTRANGE(""https://docs.google.com/spreadsheets/d/1Yj_ptqi66GCucihVvJfMjLAmec39IyEx_6qawtMGysU/edit?usp=sharing"",""สบก!CU69"")"),0)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IFERROR(__xludf.DUMMYFUNCTION("IMPORTRANGE(""https://docs.google.com/spreadsheets/d/1Yj_ptqi66GCucihVvJfMjLAmec39IyEx_6qawtMGysU/edit?usp=sharing"",""สบก!CP69"")"),0)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IFERROR(__xludf.DUMMYFUNCTION("IMPORTRANGE(""https://docs.google.com/spreadsheets/d/1Yj_ptqi66GCucihVvJfMjLAmec39IyEx_6qawtMGysU/edit?usp=sharing"",""สบก!CQ69"")"),0)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IFERROR(__xludf.DUMMYFUNCTION("IMPORTRANGE(""https://docs.google.com/spreadsheets/d/1Yj_ptqi66GCucihVvJfMjLAmec39IyEx_6qawtMGysU/edit?usp=sharing"",""สบก!CR69"")"),0)</f>
        <v>0</v>
      </c>
      <c r="M298" s="49"/>
      <c r="N298" s="49">
        <f ca="1">IFERROR(__xludf.DUMMYFUNCTION("IMPORTRANGE(""https://docs.google.com/spreadsheets/d/1Yj_ptqi66GCucihVvJfMjLAmec39IyEx_6qawtMGysU/edit?usp=sharing"",""สบก!CV69"")"),0)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IFERROR(__xludf.DUMMYFUNCTION("IMPORTRANGE(""https://docs.google.com/spreadsheets/d/1SX6NBoVAgQJ6U1MVXOaj8PK2l7WJ3RER9xtqwdhxkhw/edit?usp=sharing"",""ปราจีนบุรี!J205"")"),0)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IFERROR(__xludf.DUMMYFUNCTION("IMPORTRANGE(""https://docs.google.com/spreadsheets/d/1SX6NBoVAgQJ6U1MVXOaj8PK2l7WJ3RER9xtqwdhxkhw/edit?usp=sharing"",""ปราจีนบุรี!J206"")"),0)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IFERROR(__xludf.DUMMYFUNCTION("IMPORTRANGE(""https://docs.google.com/spreadsheets/d/1SX6NBoVAgQJ6U1MVXOaj8PK2l7WJ3RER9xtqwdhxkhw/edit?usp=sharing"",""ปราจีนบุรี!J207"")"),0)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IFERROR(__xludf.DUMMYFUNCTION("IMPORTRANGE(""https://docs.google.com/spreadsheets/d/1SX6NBoVAgQJ6U1MVXOaj8PK2l7WJ3RER9xtqwdhxkhw/edit?usp=sharing"",""ปราจีนบุรี!J208"")"),0)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IFERROR(__xludf.DUMMYFUNCTION("IMPORTRANGE(""https://docs.google.com/spreadsheets/d/1SX6NBoVAgQJ6U1MVXOaj8PK2l7WJ3RER9xtqwdhxkhw/edit?usp=sharing"",""ปราจีนบุรี!I209"")"),0)</f>
        <v>0</v>
      </c>
      <c r="J304" s="204">
        <f ca="1">IFERROR(__xludf.DUMMYFUNCTION("IMPORTRANGE(""https://docs.google.com/spreadsheets/d/1SX6NBoVAgQJ6U1MVXOaj8PK2l7WJ3RER9xtqwdhxkhw/edit?usp=sharing"",""ปราจีนบุรี!J209"")"),0)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IFERROR(__xludf.DUMMYFUNCTION("IMPORTRANGE(""https://docs.google.com/spreadsheets/d/1SX6NBoVAgQJ6U1MVXOaj8PK2l7WJ3RER9xtqwdhxkhw/edit?usp=sharing"",""ปราจีนบุรี!I211"")"),0)</f>
        <v>0</v>
      </c>
      <c r="J306" s="204">
        <f ca="1">IFERROR(__xludf.DUMMYFUNCTION("IMPORTRANGE(""https://docs.google.com/spreadsheets/d/1SX6NBoVAgQJ6U1MVXOaj8PK2l7WJ3RER9xtqwdhxkhw/edit?usp=sharing"",""ปราจีนบุรี!J211"")"),0)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IFERROR(__xludf.DUMMYFUNCTION("IMPORTRANGE(""https://docs.google.com/spreadsheets/d/1SX6NBoVAgQJ6U1MVXOaj8PK2l7WJ3RER9xtqwdhxkhw/edit?usp=sharing"",""ปราจีนบุรี!J212"")"),0)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IFERROR(__xludf.DUMMYFUNCTION("IMPORTRANGE(""https://docs.google.com/spreadsheets/d/1SX6NBoVAgQJ6U1MVXOaj8PK2l7WJ3RER9xtqwdhxkhw/edit?usp=sharing"",""ปราจีนบุรี!J213"")"),0)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IFERROR(__xludf.DUMMYFUNCTION("IMPORTRANGE(""https://docs.google.com/spreadsheets/d/1SX6NBoVAgQJ6U1MVXOaj8PK2l7WJ3RER9xtqwdhxkhw/edit?usp=sharing"",""ปราจีนบุรี!I214"")"),0)</f>
        <v>0</v>
      </c>
      <c r="J309" s="333">
        <f ca="1">IFERROR(__xludf.DUMMYFUNCTION("IMPORTRANGE(""https://docs.google.com/spreadsheets/d/1SX6NBoVAgQJ6U1MVXOaj8PK2l7WJ3RER9xtqwdhxkhw/edit?usp=sharing"",""ปราจีนบุรี!J214"")"),0)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IFERROR(__xludf.DUMMYFUNCTION("IMPORTRANGE(""https://docs.google.com/spreadsheets/d/1Yj_ptqi66GCucihVvJfMjLAmec39IyEx_6qawtMGysU/edit?usp=sharing"",""สบก!DC69"")"),0)</f>
        <v>0</v>
      </c>
      <c r="N314" s="169">
        <f ca="1">IFERROR(__xludf.DUMMYFUNCTION("IMPORTRANGE(""https://docs.google.com/spreadsheets/d/1Yj_ptqi66GCucihVvJfMjLAmec39IyEx_6qawtMGysU/edit?usp=sharing"",""สบก!DD69"")"),0)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IFERROR(__xludf.DUMMYFUNCTION("IMPORTRANGE(""https://docs.google.com/spreadsheets/d/1Yj_ptqi66GCucihVvJfMjLAmec39IyEx_6qawtMGysU/edit?usp=sharing"",""สบก!CY69"")"),0)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IFERROR(__xludf.DUMMYFUNCTION("IMPORTRANGE(""https://docs.google.com/spreadsheets/d/1Yj_ptqi66GCucihVvJfMjLAmec39IyEx_6qawtMGysU/edit?usp=sharing"",""สบก!CZ69"")"),0)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IFERROR(__xludf.DUMMYFUNCTION("IMPORTRANGE(""https://docs.google.com/spreadsheets/d/1Yj_ptqi66GCucihVvJfMjLAmec39IyEx_6qawtMGysU/edit?usp=sharing"",""สบก!DA69"")"),0)</f>
        <v>0</v>
      </c>
      <c r="M318" s="49"/>
      <c r="N318" s="49">
        <f ca="1">IFERROR(__xludf.DUMMYFUNCTION("IMPORTRANGE(""https://docs.google.com/spreadsheets/d/1Yj_ptqi66GCucihVvJfMjLAmec39IyEx_6qawtMGysU/edit?usp=sharing"",""สบก!DE69"")"),0)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IFERROR(__xludf.DUMMYFUNCTION("IMPORTRANGE(""https://docs.google.com/spreadsheets/d/1SX6NBoVAgQJ6U1MVXOaj8PK2l7WJ3RER9xtqwdhxkhw/edit?usp=sharing"",""ปราจีนบุรี!J220"")"),0)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IFERROR(__xludf.DUMMYFUNCTION("IMPORTRANGE(""https://docs.google.com/spreadsheets/d/1SX6NBoVAgQJ6U1MVXOaj8PK2l7WJ3RER9xtqwdhxkhw/edit?usp=sharing"",""ปราจีนบุรี!J221"")"),0)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IFERROR(__xludf.DUMMYFUNCTION("IMPORTRANGE(""https://docs.google.com/spreadsheets/d/1SX6NBoVAgQJ6U1MVXOaj8PK2l7WJ3RER9xtqwdhxkhw/edit?usp=sharing"",""ปราจีนบุรี!J222"")"),0)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IFERROR(__xludf.DUMMYFUNCTION("IMPORTRANGE(""https://docs.google.com/spreadsheets/d/1SX6NBoVAgQJ6U1MVXOaj8PK2l7WJ3RER9xtqwdhxkhw/edit?usp=sharing"",""ปราจีนบุรี!J223"")"),0)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IFERROR(__xludf.DUMMYFUNCTION("IMPORTRANGE(""https://docs.google.com/spreadsheets/d/1SX6NBoVAgQJ6U1MVXOaj8PK2l7WJ3RER9xtqwdhxkhw/edit?usp=sharing"",""ปราจีนบุรี!I224"")"),0)</f>
        <v>0</v>
      </c>
      <c r="J324" s="204">
        <f ca="1">IFERROR(__xludf.DUMMYFUNCTION("IMPORTRANGE(""https://docs.google.com/spreadsheets/d/1SX6NBoVAgQJ6U1MVXOaj8PK2l7WJ3RER9xtqwdhxkhw/edit?usp=sharing"",""ปราจีนบุรี!J224"")"),0)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IFERROR(__xludf.DUMMYFUNCTION("IMPORTRANGE(""https://docs.google.com/spreadsheets/d/1SX6NBoVAgQJ6U1MVXOaj8PK2l7WJ3RER9xtqwdhxkhw/edit?usp=sharing"",""ปราจีนบุรี!J225"")"),0)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IFERROR(__xludf.DUMMYFUNCTION("IMPORTRANGE(""https://docs.google.com/spreadsheets/d/1SX6NBoVAgQJ6U1MVXOaj8PK2l7WJ3RER9xtqwdhxkhw/edit?usp=sharing"",""ปราจีนบุรี!J226"")"),0)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IFERROR(__xludf.DUMMYFUNCTION("IMPORTRANGE(""https://docs.google.com/spreadsheets/d/1SX6NBoVAgQJ6U1MVXOaj8PK2l7WJ3RER9xtqwdhxkhw/edit?usp=sharing"",""ปราจีนบุรี!I228"")"),95)</f>
        <v>95</v>
      </c>
      <c r="J328" s="339">
        <f ca="1">IFERROR(__xludf.DUMMYFUNCTION("IMPORTRANGE(""https://docs.google.com/spreadsheets/d/1SX6NBoVAgQJ6U1MVXOaj8PK2l7WJ3RER9xtqwdhxkhw/edit?usp=sharing"",""ปราจีนบุรี!J228"")"),81)</f>
        <v>81</v>
      </c>
      <c r="K328" s="317">
        <f ca="1">IF(I328&gt;0,J328*100/I328,0)</f>
        <v>85.263157894736835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880650</v>
      </c>
      <c r="M329" s="152">
        <f t="shared" ca="1" si="98"/>
        <v>714630</v>
      </c>
      <c r="N329" s="152">
        <f t="shared" ca="1" si="98"/>
        <v>452714.7</v>
      </c>
      <c r="O329" s="151">
        <f t="shared" ref="O329:O331" ca="1" si="99">IF(L329&gt;0,N329*100/L329,0)</f>
        <v>51.406881280872085</v>
      </c>
      <c r="P329" s="151">
        <f t="shared" ref="P329:P331" ca="1" si="100">IF(M329&gt;0,N329*100/M329,0)</f>
        <v>63.349523529658704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880650</v>
      </c>
      <c r="M331" s="157">
        <f t="shared" ca="1" si="102"/>
        <v>714630</v>
      </c>
      <c r="N331" s="157">
        <f t="shared" ca="1" si="102"/>
        <v>452714.7</v>
      </c>
      <c r="O331" s="156">
        <f t="shared" ca="1" si="99"/>
        <v>51.406881280872085</v>
      </c>
      <c r="P331" s="156">
        <f t="shared" ca="1" si="100"/>
        <v>63.349523529658704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880650</v>
      </c>
      <c r="M333" s="168">
        <f ca="1">IFERROR(__xludf.DUMMYFUNCTION("IMPORTRANGE(""https://docs.google.com/spreadsheets/d/1Yj_ptqi66GCucihVvJfMjLAmec39IyEx_6qawtMGysU/edit?usp=sharing"",""สบก!DL69"")"),714630)</f>
        <v>714630</v>
      </c>
      <c r="N333" s="169">
        <f ca="1">IFERROR(__xludf.DUMMYFUNCTION("IMPORTRANGE(""https://docs.google.com/spreadsheets/d/1Yj_ptqi66GCucihVvJfMjLAmec39IyEx_6qawtMGysU/edit?usp=sharing"",""สบก!DM69"")"),452714.7)</f>
        <v>452714.7</v>
      </c>
      <c r="O333" s="169">
        <f ca="1">IF(L333&gt;0,N333*100/L333,0)</f>
        <v>51.406881280872085</v>
      </c>
      <c r="P333" s="169">
        <f ca="1">IF(M333&gt;0,N333*100/M333,0)</f>
        <v>63.349523529658704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IFERROR(__xludf.DUMMYFUNCTION("IMPORTRANGE(""https://docs.google.com/spreadsheets/d/1Yj_ptqi66GCucihVvJfMjLAmec39IyEx_6qawtMGysU/edit?usp=sharing"",""สบก!DH69"")"),583200)</f>
        <v>583200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IFERROR(__xludf.DUMMYFUNCTION("IMPORTRANGE(""https://docs.google.com/spreadsheets/d/1Yj_ptqi66GCucihVvJfMjLAmec39IyEx_6qawtMGysU/edit?usp=sharing"",""สบก!DI69"")"),297450)</f>
        <v>297450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IFERROR(__xludf.DUMMYFUNCTION("IMPORTRANGE(""https://docs.google.com/spreadsheets/d/1Yj_ptqi66GCucihVvJfMjLAmec39IyEx_6qawtMGysU/edit?usp=sharing"",""สบก!DJ69"")"),0)</f>
        <v>0</v>
      </c>
      <c r="M337" s="49"/>
      <c r="N337" s="49">
        <f ca="1">IFERROR(__xludf.DUMMYFUNCTION("IMPORTRANGE(""https://docs.google.com/spreadsheets/d/1Yj_ptqi66GCucihVvJfMjLAmec39IyEx_6qawtMGysU/edit?usp=sharing"",""สบก!DN69"")"),0)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IFERROR(__xludf.DUMMYFUNCTION("IMPORTRANGE(""https://docs.google.com/spreadsheets/d/1SX6NBoVAgQJ6U1MVXOaj8PK2l7WJ3RER9xtqwdhxkhw/edit?usp=sharing"",""ปราจีนบุรี!I234"")"),0)</f>
        <v>0</v>
      </c>
      <c r="J339" s="188">
        <f ca="1">IFERROR(__xludf.DUMMYFUNCTION("IMPORTRANGE(""https://docs.google.com/spreadsheets/d/1SX6NBoVAgQJ6U1MVXOaj8PK2l7WJ3RER9xtqwdhxkhw/edit?usp=sharing"",""ปราจีนบุรี!J234"")"),52)</f>
        <v>52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IFERROR(__xludf.DUMMYFUNCTION("IMPORTRANGE(""https://docs.google.com/spreadsheets/d/1SX6NBoVAgQJ6U1MVXOaj8PK2l7WJ3RER9xtqwdhxkhw/edit?usp=sharing"",""ปราจีนบุรี!I235"")"),1400)</f>
        <v>1400</v>
      </c>
      <c r="J340" s="188">
        <f ca="1">IFERROR(__xludf.DUMMYFUNCTION("IMPORTRANGE(""https://docs.google.com/spreadsheets/d/1SX6NBoVAgQJ6U1MVXOaj8PK2l7WJ3RER9xtqwdhxkhw/edit?usp=sharing"",""ปราจีนบุรี!J235"")"),678.46)</f>
        <v>678.46</v>
      </c>
      <c r="K340" s="342">
        <f t="shared" ca="1" si="103"/>
        <v>48.46142857142857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IFERROR(__xludf.DUMMYFUNCTION("IMPORTRANGE(""https://docs.google.com/spreadsheets/d/1SX6NBoVAgQJ6U1MVXOaj8PK2l7WJ3RER9xtqwdhxkhw/edit?usp=sharing"",""ปราจีนบุรี!I236"")"),95)</f>
        <v>95</v>
      </c>
      <c r="J341" s="188">
        <f ca="1">IFERROR(__xludf.DUMMYFUNCTION("IMPORTRANGE(""https://docs.google.com/spreadsheets/d/1SX6NBoVAgQJ6U1MVXOaj8PK2l7WJ3RER9xtqwdhxkhw/edit?usp=sharing"",""ปราจีนบุรี!J236"")"),84)</f>
        <v>84</v>
      </c>
      <c r="K341" s="342">
        <f t="shared" ca="1" si="103"/>
        <v>88.421052631578945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IFERROR(__xludf.DUMMYFUNCTION("IMPORTRANGE(""https://docs.google.com/spreadsheets/d/1SX6NBoVAgQJ6U1MVXOaj8PK2l7WJ3RER9xtqwdhxkhw/edit?usp=sharing"",""ปราจีนบุรี!I237"")"),0)</f>
        <v>0</v>
      </c>
      <c r="J342" s="188">
        <f ca="1">IFERROR(__xludf.DUMMYFUNCTION("IMPORTRANGE(""https://docs.google.com/spreadsheets/d/1SX6NBoVAgQJ6U1MVXOaj8PK2l7WJ3RER9xtqwdhxkhw/edit?usp=sharing"",""ปราจีนบุรี!J237"")"),1443.65999999999)</f>
        <v>1443.6599999999901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IFERROR(__xludf.DUMMYFUNCTION("IMPORTRANGE(""https://docs.google.com/spreadsheets/d/1SX6NBoVAgQJ6U1MVXOaj8PK2l7WJ3RER9xtqwdhxkhw/edit?usp=sharing"",""ปราจีนบุรี!I238"")"),95)</f>
        <v>95</v>
      </c>
      <c r="J343" s="188">
        <f ca="1">IFERROR(__xludf.DUMMYFUNCTION("IMPORTRANGE(""https://docs.google.com/spreadsheets/d/1SX6NBoVAgQJ6U1MVXOaj8PK2l7WJ3RER9xtqwdhxkhw/edit?usp=sharing"",""ปราจีนบุรี!J238"")"),0)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IFERROR(__xludf.DUMMYFUNCTION("IMPORTRANGE(""https://docs.google.com/spreadsheets/d/1SX6NBoVAgQJ6U1MVXOaj8PK2l7WJ3RER9xtqwdhxkhw/edit?usp=sharing"",""ปราจีนบุรี!I239"")"),0)</f>
        <v>0</v>
      </c>
      <c r="J344" s="188">
        <f ca="1">IFERROR(__xludf.DUMMYFUNCTION("IMPORTRANGE(""https://docs.google.com/spreadsheets/d/1SX6NBoVAgQJ6U1MVXOaj8PK2l7WJ3RER9xtqwdhxkhw/edit?usp=sharing"",""ปราจีนบุรี!J239"")"),0)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IFERROR(__xludf.DUMMYFUNCTION("IMPORTRANGE(""https://docs.google.com/spreadsheets/d/1SX6NBoVAgQJ6U1MVXOaj8PK2l7WJ3RER9xtqwdhxkhw/edit?usp=sharing"",""ปราจีนบุรี!I240"")"),95)</f>
        <v>95</v>
      </c>
      <c r="J345" s="188">
        <f ca="1">IFERROR(__xludf.DUMMYFUNCTION("IMPORTRANGE(""https://docs.google.com/spreadsheets/d/1SX6NBoVAgQJ6U1MVXOaj8PK2l7WJ3RER9xtqwdhxkhw/edit?usp=sharing"",""ปราจีนบุรี!J240"")"),81)</f>
        <v>81</v>
      </c>
      <c r="K345" s="342">
        <f t="shared" ca="1" si="103"/>
        <v>85.263157894736835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IFERROR(__xludf.DUMMYFUNCTION("IMPORTRANGE(""https://docs.google.com/spreadsheets/d/1SX6NBoVAgQJ6U1MVXOaj8PK2l7WJ3RER9xtqwdhxkhw/edit?usp=sharing"",""ปราจีนบุรี!I241"")"),0)</f>
        <v>0</v>
      </c>
      <c r="J346" s="188">
        <f ca="1">IFERROR(__xludf.DUMMYFUNCTION("IMPORTRANGE(""https://docs.google.com/spreadsheets/d/1SX6NBoVAgQJ6U1MVXOaj8PK2l7WJ3RER9xtqwdhxkhw/edit?usp=sharing"",""ปราจีนบุรี!J241"")"),1437.98)</f>
        <v>1437.98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IFERROR(__xludf.DUMMYFUNCTION("IMPORTRANGE(""https://docs.google.com/spreadsheets/d/1SX6NBoVAgQJ6U1MVXOaj8PK2l7WJ3RER9xtqwdhxkhw/edit?usp=sharing"",""ปราจีนบุรี!L242"")"),824826)</f>
        <v>824826</v>
      </c>
      <c r="M347" s="358"/>
      <c r="N347" s="358">
        <f ca="1">IFERROR(__xludf.DUMMYFUNCTION("IMPORTRANGE(""https://docs.google.com/spreadsheets/d/1SX6NBoVAgQJ6U1MVXOaj8PK2l7WJ3RER9xtqwdhxkhw/edit?usp=sharing"",""ปราจีนบุรี!M242"")"),400336)</f>
        <v>400336</v>
      </c>
      <c r="O347" s="358">
        <f ca="1">+IF(L347&gt;0,N347*100/L347,0)</f>
        <v>48.53581240164592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IFERROR(__xludf.DUMMYFUNCTION("IMPORTRANGE(""https://docs.google.com/spreadsheets/d/1SX6NBoVAgQJ6U1MVXOaj8PK2l7WJ3RER9xtqwdhxkhw/edit?usp=sharing"",""ปราจีนบุรี!I244"")"),60)</f>
        <v>60</v>
      </c>
      <c r="J349" s="371">
        <f ca="1">IFERROR(__xludf.DUMMYFUNCTION("IMPORTRANGE(""https://docs.google.com/spreadsheets/d/1SX6NBoVAgQJ6U1MVXOaj8PK2l7WJ3RER9xtqwdhxkhw/edit?usp=sharing"",""ปราจีนบุรี!J244"")"),60)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IFERROR(__xludf.DUMMYFUNCTION("IMPORTRANGE(""https://docs.google.com/spreadsheets/d/1SX6NBoVAgQJ6U1MVXOaj8PK2l7WJ3RER9xtqwdhxkhw/edit?usp=sharing"",""ปราจีนบุรี!L244"")"),93120)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IFERROR(__xludf.DUMMYFUNCTION("IMPORTRANGE(""https://docs.google.com/spreadsheets/d/1SX6NBoVAgQJ6U1MVXOaj8PK2l7WJ3RER9xtqwdhxkhw/edit?usp=sharing"",""ปราจีนบุรี!M244"")"),88355)</f>
        <v>88355</v>
      </c>
      <c r="O349" s="373">
        <f ca="1">+IF(L349&gt;0,N349*100/L349,0)</f>
        <v>94.882946735395194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IFERROR(__xludf.DUMMYFUNCTION("IMPORTRANGE(""https://docs.google.com/spreadsheets/d/1SX6NBoVAgQJ6U1MVXOaj8PK2l7WJ3RER9xtqwdhxkhw/edit?usp=sharing"",""ปราจีนบุรี!I245"")"),20)</f>
        <v>20</v>
      </c>
      <c r="J350" s="371">
        <f ca="1">IFERROR(__xludf.DUMMYFUNCTION("IMPORTRANGE(""https://docs.google.com/spreadsheets/d/1SX6NBoVAgQJ6U1MVXOaj8PK2l7WJ3RER9xtqwdhxkhw/edit?usp=sharing"",""ปราจีนบุรี!J245"")"),20)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IFERROR(__xludf.DUMMYFUNCTION("IMPORTRANGE(""https://docs.google.com/spreadsheets/d/1SX6NBoVAgQJ6U1MVXOaj8PK2l7WJ3RER9xtqwdhxkhw/edit?usp=sharing"",""ปราจีนบุรี!L246"")"),0)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IFERROR(__xludf.DUMMYFUNCTION("IMPORTRANGE(""https://docs.google.com/spreadsheets/d/1SX6NBoVAgQJ6U1MVXOaj8PK2l7WJ3RER9xtqwdhxkhw/edit?usp=sharing"",""ปราจีนบุรี!M246"")"),0)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IFERROR(__xludf.DUMMYFUNCTION("IMPORTRANGE(""https://docs.google.com/spreadsheets/d/1SX6NBoVAgQJ6U1MVXOaj8PK2l7WJ3RER9xtqwdhxkhw/edit?usp=sharing"",""ปราจีนบุรี!L247"")"),93120)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IFERROR(__xludf.DUMMYFUNCTION("IMPORTRANGE(""https://docs.google.com/spreadsheets/d/1SX6NBoVAgQJ6U1MVXOaj8PK2l7WJ3RER9xtqwdhxkhw/edit?usp=sharing"",""ปราจีนบุรี!M247"")"),88355)</f>
        <v>88355</v>
      </c>
      <c r="O352" s="165">
        <f t="shared" ca="1" si="105"/>
        <v>94.882946735395194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IFERROR(__xludf.DUMMYFUNCTION("IMPORTRANGE(""https://docs.google.com/spreadsheets/d/1SX6NBoVAgQJ6U1MVXOaj8PK2l7WJ3RER9xtqwdhxkhw/edit?usp=sharing"",""ปราจีนบุรี!L248"")"),0)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IFERROR(__xludf.DUMMYFUNCTION("IMPORTRANGE(""https://docs.google.com/spreadsheets/d/1SX6NBoVAgQJ6U1MVXOaj8PK2l7WJ3RER9xtqwdhxkhw/edit?usp=sharing"",""ปราจีนบุรี!M248"")"),0)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IFERROR(__xludf.DUMMYFUNCTION("IMPORTRANGE(""https://docs.google.com/spreadsheets/d/1SX6NBoVAgQJ6U1MVXOaj8PK2l7WJ3RER9xtqwdhxkhw/edit?usp=sharing"",""ปราจีนบุรี!L249"")"),93120)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IFERROR(__xludf.DUMMYFUNCTION("IMPORTRANGE(""https://docs.google.com/spreadsheets/d/1SX6NBoVAgQJ6U1MVXOaj8PK2l7WJ3RER9xtqwdhxkhw/edit?usp=sharing"",""ปราจีนบุรี!M249"")"),88355)</f>
        <v>88355</v>
      </c>
      <c r="O354" s="169">
        <f t="shared" ca="1" si="105"/>
        <v>94.882946735395194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IFERROR(__xludf.DUMMYFUNCTION("IMPORTRANGE(""https://docs.google.com/spreadsheets/d/1SX6NBoVAgQJ6U1MVXOaj8PK2l7WJ3RER9xtqwdhxkhw/edit?usp=sharing"",""ปราจีนบุรี!M250"")"),27600)</f>
        <v>27600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IFERROR(__xludf.DUMMYFUNCTION("IMPORTRANGE(""https://docs.google.com/spreadsheets/d/1SX6NBoVAgQJ6U1MVXOaj8PK2l7WJ3RER9xtqwdhxkhw/edit?usp=sharing"",""ปราจีนบุรี!M251"")"),47000)</f>
        <v>47000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IFERROR(__xludf.DUMMYFUNCTION("IMPORTRANGE(""https://docs.google.com/spreadsheets/d/1SX6NBoVAgQJ6U1MVXOaj8PK2l7WJ3RER9xtqwdhxkhw/edit?usp=sharing"",""ปราจีนบุรี!M252"")"),0)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IFERROR(__xludf.DUMMYFUNCTION("IMPORTRANGE(""https://docs.google.com/spreadsheets/d/1SX6NBoVAgQJ6U1MVXOaj8PK2l7WJ3RER9xtqwdhxkhw/edit?usp=sharing"",""ปราจีนบุรี!M253"")"),13755)</f>
        <v>13755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IFERROR(__xludf.DUMMYFUNCTION("IMPORTRANGE(""https://docs.google.com/spreadsheets/d/1SX6NBoVAgQJ6U1MVXOaj8PK2l7WJ3RER9xtqwdhxkhw/edit?usp=sharing"",""ปราจีนบุรี!J255"")"),0)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IFERROR(__xludf.DUMMYFUNCTION("IMPORTRANGE(""https://docs.google.com/spreadsheets/d/1SX6NBoVAgQJ6U1MVXOaj8PK2l7WJ3RER9xtqwdhxkhw/edit?usp=sharing"",""ปราจีนบุรี!J256"")"),1)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IFERROR(__xludf.DUMMYFUNCTION("IMPORTRANGE(""https://docs.google.com/spreadsheets/d/1SX6NBoVAgQJ6U1MVXOaj8PK2l7WJ3RER9xtqwdhxkhw/edit?usp=sharing"",""ปราจีนบุรี!J257"")"),1)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IFERROR(__xludf.DUMMYFUNCTION("IMPORTRANGE(""https://docs.google.com/spreadsheets/d/1SX6NBoVAgQJ6U1MVXOaj8PK2l7WJ3RER9xtqwdhxkhw/edit?usp=sharing"",""ปราจีนบุรี!J258"")"),1)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IFERROR(__xludf.DUMMYFUNCTION("IMPORTRANGE(""https://docs.google.com/spreadsheets/d/1SX6NBoVAgQJ6U1MVXOaj8PK2l7WJ3RER9xtqwdhxkhw/edit?usp=sharing"",""ปราจีนบุรี!J166"")"),0)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IFERROR(__xludf.DUMMYFUNCTION("IMPORTRANGE(""https://docs.google.com/spreadsheets/d/1SX6NBoVAgQJ6U1MVXOaj8PK2l7WJ3RER9xtqwdhxkhw/edit?usp=sharing"",""ปราจีนบุรี!J166"")"),0)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IFERROR(__xludf.DUMMYFUNCTION("IMPORTRANGE(""https://docs.google.com/spreadsheets/d/1SX6NBoVAgQJ6U1MVXOaj8PK2l7WJ3RER9xtqwdhxkhw/edit?usp=sharing"",""ปราจีนบุรี!J166"")"),0)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IFERROR(__xludf.DUMMYFUNCTION("IMPORTRANGE(""https://docs.google.com/spreadsheets/d/1SX6NBoVAgQJ6U1MVXOaj8PK2l7WJ3RER9xtqwdhxkhw/edit?usp=sharing"",""ปราจีนบุรี!J166"")"),0)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IFERROR(__xludf.DUMMYFUNCTION("IMPORTRANGE(""https://docs.google.com/spreadsheets/d/1SX6NBoVAgQJ6U1MVXOaj8PK2l7WJ3RER9xtqwdhxkhw/edit?usp=sharing"",""ปราจีนบุรี!I263"")"),20)</f>
        <v>20</v>
      </c>
      <c r="J368" s="188">
        <f ca="1">IFERROR(__xludf.DUMMYFUNCTION("IMPORTRANGE(""https://docs.google.com/spreadsheets/d/1SX6NBoVAgQJ6U1MVXOaj8PK2l7WJ3RER9xtqwdhxkhw/edit?usp=sharing"",""ปราจีนบุรี!J263"")"),20)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IFERROR(__xludf.DUMMYFUNCTION("IMPORTRANGE(""https://docs.google.com/spreadsheets/d/1SX6NBoVAgQJ6U1MVXOaj8PK2l7WJ3RER9xtqwdhxkhw/edit?usp=sharing"",""ปราจีนบุรี!I164"")"),0)</f>
        <v>0</v>
      </c>
      <c r="J369" s="204">
        <f ca="1">IFERROR(__xludf.DUMMYFUNCTION("IMPORTRANGE(""https://docs.google.com/spreadsheets/d/1SX6NBoVAgQJ6U1MVXOaj8PK2l7WJ3RER9xtqwdhxkhw/edit?usp=sharing"",""ปราจีนบุรี!J164"")"),0)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IFERROR(__xludf.DUMMYFUNCTION("IMPORTRANGE(""https://docs.google.com/spreadsheets/d/1SX6NBoVAgQJ6U1MVXOaj8PK2l7WJ3RER9xtqwdhxkhw/edit?usp=sharing"",""ปราจีนบุรี!I265"")"),20)</f>
        <v>20</v>
      </c>
      <c r="J370" s="204">
        <f ca="1">IFERROR(__xludf.DUMMYFUNCTION("IMPORTRANGE(""https://docs.google.com/spreadsheets/d/1SX6NBoVAgQJ6U1MVXOaj8PK2l7WJ3RER9xtqwdhxkhw/edit?usp=sharing"",""ปราจีนบุรี!J265"")"),20)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IFERROR(__xludf.DUMMYFUNCTION("IMPORTRANGE(""https://docs.google.com/spreadsheets/d/1SX6NBoVAgQJ6U1MVXOaj8PK2l7WJ3RER9xtqwdhxkhw/edit?usp=sharing"",""ปราจีนบุรี!I164"")"),0)</f>
        <v>0</v>
      </c>
      <c r="J371" s="189">
        <f ca="1">IFERROR(__xludf.DUMMYFUNCTION("IMPORTRANGE(""https://docs.google.com/spreadsheets/d/1SX6NBoVAgQJ6U1MVXOaj8PK2l7WJ3RER9xtqwdhxkhw/edit?usp=sharing"",""ปราจีนบุรี!J164"")"),0)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IFERROR(__xludf.DUMMYFUNCTION("IMPORTRANGE(""https://docs.google.com/spreadsheets/d/1SX6NBoVAgQJ6U1MVXOaj8PK2l7WJ3RER9xtqwdhxkhw/edit?usp=sharing"",""ปราจีนบุรี!I267"")"),20)</f>
        <v>20</v>
      </c>
      <c r="J372" s="189">
        <f ca="1">IFERROR(__xludf.DUMMYFUNCTION("IMPORTRANGE(""https://docs.google.com/spreadsheets/d/1SX6NBoVAgQJ6U1MVXOaj8PK2l7WJ3RER9xtqwdhxkhw/edit?usp=sharing"",""ปราจีนบุรี!J267"")"),20)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IFERROR(__xludf.DUMMYFUNCTION("IMPORTRANGE(""https://docs.google.com/spreadsheets/d/1SX6NBoVAgQJ6U1MVXOaj8PK2l7WJ3RER9xtqwdhxkhw/edit?usp=sharing"",""ปราจีนบุรี!I164"")"),0)</f>
        <v>0</v>
      </c>
      <c r="J373" s="204">
        <f ca="1">IFERROR(__xludf.DUMMYFUNCTION("IMPORTRANGE(""https://docs.google.com/spreadsheets/d/1SX6NBoVAgQJ6U1MVXOaj8PK2l7WJ3RER9xtqwdhxkhw/edit?usp=sharing"",""ปราจีนบุรี!J164"")"),0)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IFERROR(__xludf.DUMMYFUNCTION("IMPORTRANGE(""https://docs.google.com/spreadsheets/d/1SX6NBoVAgQJ6U1MVXOaj8PK2l7WJ3RER9xtqwdhxkhw/edit?usp=sharing"",""ปราจีนบุรี!I164"")"),0)</f>
        <v>0</v>
      </c>
      <c r="J374" s="188">
        <f ca="1">IFERROR(__xludf.DUMMYFUNCTION("IMPORTRANGE(""https://docs.google.com/spreadsheets/d/1SX6NBoVAgQJ6U1MVXOaj8PK2l7WJ3RER9xtqwdhxkhw/edit?usp=sharing"",""ปราจีนบุรี!J164"")"),0)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IFERROR(__xludf.DUMMYFUNCTION("IMPORTRANGE(""https://docs.google.com/spreadsheets/d/1SX6NBoVAgQJ6U1MVXOaj8PK2l7WJ3RER9xtqwdhxkhw/edit?usp=sharing"",""ปราจีนบุรี!I270"")"),60)</f>
        <v>60</v>
      </c>
      <c r="J375" s="188">
        <f ca="1">IFERROR(__xludf.DUMMYFUNCTION("IMPORTRANGE(""https://docs.google.com/spreadsheets/d/1SX6NBoVAgQJ6U1MVXOaj8PK2l7WJ3RER9xtqwdhxkhw/edit?usp=sharing"",""ปราจีนบุรี!J270"")"),60)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IFERROR(__xludf.DUMMYFUNCTION("IMPORTRANGE(""https://docs.google.com/spreadsheets/d/1SX6NBoVAgQJ6U1MVXOaj8PK2l7WJ3RER9xtqwdhxkhw/edit?usp=sharing"",""ปราจีนบุรี!I271"")"),0)</f>
        <v>0</v>
      </c>
      <c r="J376" s="189">
        <f ca="1">IFERROR(__xludf.DUMMYFUNCTION("IMPORTRANGE(""https://docs.google.com/spreadsheets/d/1SX6NBoVAgQJ6U1MVXOaj8PK2l7WJ3RER9xtqwdhxkhw/edit?usp=sharing"",""ปราจีนบุรี!J271"")"),0)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IFERROR(__xludf.DUMMYFUNCTION("IMPORTRANGE(""https://docs.google.com/spreadsheets/d/1SX6NBoVAgQJ6U1MVXOaj8PK2l7WJ3RER9xtqwdhxkhw/edit?usp=sharing"",""ปราจีนบุรี!I272"")"),60)</f>
        <v>60</v>
      </c>
      <c r="J377" s="204">
        <f ca="1">IFERROR(__xludf.DUMMYFUNCTION("IMPORTRANGE(""https://docs.google.com/spreadsheets/d/1SX6NBoVAgQJ6U1MVXOaj8PK2l7WJ3RER9xtqwdhxkhw/edit?usp=sharing"",""ปราจีนบุรี!J272"")"),60)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IFERROR(__xludf.DUMMYFUNCTION("IMPORTRANGE(""https://docs.google.com/spreadsheets/d/1SX6NBoVAgQJ6U1MVXOaj8PK2l7WJ3RER9xtqwdhxkhw/edit?usp=sharing"",""ปราจีนบุรี!J273"")"),0)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IFERROR(__xludf.DUMMYFUNCTION("IMPORTRANGE(""https://docs.google.com/spreadsheets/d/1SX6NBoVAgQJ6U1MVXOaj8PK2l7WJ3RER9xtqwdhxkhw/edit?usp=sharing"",""ปราจีนบุรี!J274"")"),0)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IFERROR(__xludf.DUMMYFUNCTION("IMPORTRANGE(""https://docs.google.com/spreadsheets/d/1SX6NBoVAgQJ6U1MVXOaj8PK2l7WJ3RER9xtqwdhxkhw/edit?usp=sharing"",""ปราจีนบุรี!I275"")"),200)</f>
        <v>200</v>
      </c>
      <c r="J380" s="371">
        <f ca="1">IFERROR(__xludf.DUMMYFUNCTION("IMPORTRANGE(""https://docs.google.com/spreadsheets/d/1SX6NBoVAgQJ6U1MVXOaj8PK2l7WJ3RER9xtqwdhxkhw/edit?usp=sharing"",""ปราจีนบุรี!J275"")"),0)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IFERROR(__xludf.DUMMYFUNCTION("IMPORTRANGE(""https://docs.google.com/spreadsheets/d/1SX6NBoVAgQJ6U1MVXOaj8PK2l7WJ3RER9xtqwdhxkhw/edit?usp=sharing"",""ปราจีนบุรี!L275"")"),207560)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IFERROR(__xludf.DUMMYFUNCTION("IMPORTRANGE(""https://docs.google.com/spreadsheets/d/1SX6NBoVAgQJ6U1MVXOaj8PK2l7WJ3RER9xtqwdhxkhw/edit?usp=sharing"",""ปราจีนบุรี!M275"")"),74520)</f>
        <v>74520</v>
      </c>
      <c r="O380" s="373">
        <f ca="1">+IF(L380&gt;0,N380*100/L380,0)</f>
        <v>35.902871458855273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IFERROR(__xludf.DUMMYFUNCTION("IMPORTRANGE(""https://docs.google.com/spreadsheets/d/1SX6NBoVAgQJ6U1MVXOaj8PK2l7WJ3RER9xtqwdhxkhw/edit?usp=sharing"",""ปราจีนบุรี!I276"")"),20)</f>
        <v>20</v>
      </c>
      <c r="J381" s="371">
        <f ca="1">IFERROR(__xludf.DUMMYFUNCTION("IMPORTRANGE(""https://docs.google.com/spreadsheets/d/1SX6NBoVAgQJ6U1MVXOaj8PK2l7WJ3RER9xtqwdhxkhw/edit?usp=sharing"",""ปราจีนบุรี!J276"")"),20)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IFERROR(__xludf.DUMMYFUNCTION("IMPORTRANGE(""https://docs.google.com/spreadsheets/d/1SX6NBoVAgQJ6U1MVXOaj8PK2l7WJ3RER9xtqwdhxkhw/edit?usp=sharing"",""ปราจีนบุรี!L277"")"),0)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IFERROR(__xludf.DUMMYFUNCTION("IMPORTRANGE(""https://docs.google.com/spreadsheets/d/1SX6NBoVAgQJ6U1MVXOaj8PK2l7WJ3RER9xtqwdhxkhw/edit?usp=sharing"",""ปราจีนบุรี!M277"")"),0)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IFERROR(__xludf.DUMMYFUNCTION("IMPORTRANGE(""https://docs.google.com/spreadsheets/d/1SX6NBoVAgQJ6U1MVXOaj8PK2l7WJ3RER9xtqwdhxkhw/edit?usp=sharing"",""ปราจีนบุรี!L278"")"),207560)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IFERROR(__xludf.DUMMYFUNCTION("IMPORTRANGE(""https://docs.google.com/spreadsheets/d/1SX6NBoVAgQJ6U1MVXOaj8PK2l7WJ3RER9xtqwdhxkhw/edit?usp=sharing"",""ปราจีนบุรี!M278"")"),74520)</f>
        <v>74520</v>
      </c>
      <c r="O383" s="165">
        <f t="shared" ca="1" si="109"/>
        <v>35.902871458855273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IFERROR(__xludf.DUMMYFUNCTION("IMPORTRANGE(""https://docs.google.com/spreadsheets/d/1SX6NBoVAgQJ6U1MVXOaj8PK2l7WJ3RER9xtqwdhxkhw/edit?usp=sharing"",""ปราจีนบุรี!L279"")"),0)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IFERROR(__xludf.DUMMYFUNCTION("IMPORTRANGE(""https://docs.google.com/spreadsheets/d/1SX6NBoVAgQJ6U1MVXOaj8PK2l7WJ3RER9xtqwdhxkhw/edit?usp=sharing"",""ปราจีนบุรี!M279"")"),0)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IFERROR(__xludf.DUMMYFUNCTION("IMPORTRANGE(""https://docs.google.com/spreadsheets/d/1SX6NBoVAgQJ6U1MVXOaj8PK2l7WJ3RER9xtqwdhxkhw/edit?usp=sharing"",""ปราจีนบุรี!L280"")"),207560)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IFERROR(__xludf.DUMMYFUNCTION("IMPORTRANGE(""https://docs.google.com/spreadsheets/d/1SX6NBoVAgQJ6U1MVXOaj8PK2l7WJ3RER9xtqwdhxkhw/edit?usp=sharing"",""ปราจีนบุรี!M280"")"),74520)</f>
        <v>74520</v>
      </c>
      <c r="O385" s="169">
        <f t="shared" ca="1" si="109"/>
        <v>35.902871458855273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IFERROR(__xludf.DUMMYFUNCTION("IMPORTRANGE(""https://docs.google.com/spreadsheets/d/1SX6NBoVAgQJ6U1MVXOaj8PK2l7WJ3RER9xtqwdhxkhw/edit?usp=sharing"",""ปราจีนบุรี!M281"")"),58800)</f>
        <v>58800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IFERROR(__xludf.DUMMYFUNCTION("IMPORTRANGE(""https://docs.google.com/spreadsheets/d/1SX6NBoVAgQJ6U1MVXOaj8PK2l7WJ3RER9xtqwdhxkhw/edit?usp=sharing"",""ปราจีนบุรี!M282"")"),0)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IFERROR(__xludf.DUMMYFUNCTION("IMPORTRANGE(""https://docs.google.com/spreadsheets/d/1SX6NBoVAgQJ6U1MVXOaj8PK2l7WJ3RER9xtqwdhxkhw/edit?usp=sharing"",""ปราจีนบุรี!M283"")"),0)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IFERROR(__xludf.DUMMYFUNCTION("IMPORTRANGE(""https://docs.google.com/spreadsheets/d/1SX6NBoVAgQJ6U1MVXOaj8PK2l7WJ3RER9xtqwdhxkhw/edit?usp=sharing"",""ปราจีนบุรี!M284"")"),15720)</f>
        <v>15720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IFERROR(__xludf.DUMMYFUNCTION("IMPORTRANGE(""https://docs.google.com/spreadsheets/d/1SX6NBoVAgQJ6U1MVXOaj8PK2l7WJ3RER9xtqwdhxkhw/edit?usp=sharing"",""ปราจีนบุรี!J286"")"),0)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IFERROR(__xludf.DUMMYFUNCTION("IMPORTRANGE(""https://docs.google.com/spreadsheets/d/1SX6NBoVAgQJ6U1MVXOaj8PK2l7WJ3RER9xtqwdhxkhw/edit?usp=sharing"",""ปราจีนบุรี!J287"")"),1)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IFERROR(__xludf.DUMMYFUNCTION("IMPORTRANGE(""https://docs.google.com/spreadsheets/d/1SX6NBoVAgQJ6U1MVXOaj8PK2l7WJ3RER9xtqwdhxkhw/edit?usp=sharing"",""ปราจีนบุรี!J288"")"),1)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IFERROR(__xludf.DUMMYFUNCTION("IMPORTRANGE(""https://docs.google.com/spreadsheets/d/1SX6NBoVAgQJ6U1MVXOaj8PK2l7WJ3RER9xtqwdhxkhw/edit?usp=sharing"",""ปราจีนบุรี!J289"")"),1)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IFERROR(__xludf.DUMMYFUNCTION("IMPORTRANGE(""https://docs.google.com/spreadsheets/d/1SX6NBoVAgQJ6U1MVXOaj8PK2l7WJ3RER9xtqwdhxkhw/edit?usp=sharing"",""ปราจีนบุรี!I291"")"),20)</f>
        <v>20</v>
      </c>
      <c r="J396" s="198">
        <f ca="1">IFERROR(__xludf.DUMMYFUNCTION("IMPORTRANGE(""https://docs.google.com/spreadsheets/d/1SX6NBoVAgQJ6U1MVXOaj8PK2l7WJ3RER9xtqwdhxkhw/edit?usp=sharing"",""ปราจีนบุรี!J291"")"),20)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IFERROR(__xludf.DUMMYFUNCTION("IMPORTRANGE(""https://docs.google.com/spreadsheets/d/1SX6NBoVAgQJ6U1MVXOaj8PK2l7WJ3RER9xtqwdhxkhw/edit?usp=sharing"",""ปราจีนบุรี!I292"")"),200)</f>
        <v>200</v>
      </c>
      <c r="J397" s="198">
        <f ca="1">IFERROR(__xludf.DUMMYFUNCTION("IMPORTRANGE(""https://docs.google.com/spreadsheets/d/1SX6NBoVAgQJ6U1MVXOaj8PK2l7WJ3RER9xtqwdhxkhw/edit?usp=sharing"",""ปราจีนบุรี!J292"")"),0)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IFERROR(__xludf.DUMMYFUNCTION("IMPORTRANGE(""https://docs.google.com/spreadsheets/d/1SX6NBoVAgQJ6U1MVXOaj8PK2l7WJ3RER9xtqwdhxkhw/edit?usp=sharing"",""ปราจีนบุรี!I293"")"),20)</f>
        <v>20</v>
      </c>
      <c r="J398" s="198">
        <f ca="1">IFERROR(__xludf.DUMMYFUNCTION("IMPORTRANGE(""https://docs.google.com/spreadsheets/d/1SX6NBoVAgQJ6U1MVXOaj8PK2l7WJ3RER9xtqwdhxkhw/edit?usp=sharing"",""ปราจีนบุรี!J293"")"),0)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IFERROR(__xludf.DUMMYFUNCTION("IMPORTRANGE(""https://docs.google.com/spreadsheets/d/1SX6NBoVAgQJ6U1MVXOaj8PK2l7WJ3RER9xtqwdhxkhw/edit?usp=sharing"",""ปราจีนบุรี!J294"")"),0)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IFERROR(__xludf.DUMMYFUNCTION("IMPORTRANGE(""https://docs.google.com/spreadsheets/d/1SX6NBoVAgQJ6U1MVXOaj8PK2l7WJ3RER9xtqwdhxkhw/edit?usp=sharing"",""ปราจีนบุรี!J295"")"),0)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IFERROR(__xludf.DUMMYFUNCTION("IMPORTRANGE(""https://docs.google.com/spreadsheets/d/1SX6NBoVAgQJ6U1MVXOaj8PK2l7WJ3RER9xtqwdhxkhw/edit?usp=sharing"",""ปราจีนบุรี!I296"")"),90)</f>
        <v>90</v>
      </c>
      <c r="J401" s="371">
        <f ca="1">IFERROR(__xludf.DUMMYFUNCTION("IMPORTRANGE(""https://docs.google.com/spreadsheets/d/1SX6NBoVAgQJ6U1MVXOaj8PK2l7WJ3RER9xtqwdhxkhw/edit?usp=sharing"",""ปราจีนบุรี!J296"")"),90)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IFERROR(__xludf.DUMMYFUNCTION("IMPORTRANGE(""https://docs.google.com/spreadsheets/d/1SX6NBoVAgQJ6U1MVXOaj8PK2l7WJ3RER9xtqwdhxkhw/edit?usp=sharing"",""ปราจีนบุรี!L296"")"),116320)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IFERROR(__xludf.DUMMYFUNCTION("IMPORTRANGE(""https://docs.google.com/spreadsheets/d/1SX6NBoVAgQJ6U1MVXOaj8PK2l7WJ3RER9xtqwdhxkhw/edit?usp=sharing"",""ปราจีนบุรี!M296"")"),74380)</f>
        <v>74380</v>
      </c>
      <c r="O401" s="373">
        <f ca="1">+IF(L401&gt;0,N401*100/L401,0)</f>
        <v>63.944291609353506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IFERROR(__xludf.DUMMYFUNCTION("IMPORTRANGE(""https://docs.google.com/spreadsheets/d/1SX6NBoVAgQJ6U1MVXOaj8PK2l7WJ3RER9xtqwdhxkhw/edit?usp=sharing"",""ปราจีนบุรี!I297"")"),30)</f>
        <v>30</v>
      </c>
      <c r="J402" s="371">
        <f ca="1">IFERROR(__xludf.DUMMYFUNCTION("IMPORTRANGE(""https://docs.google.com/spreadsheets/d/1SX6NBoVAgQJ6U1MVXOaj8PK2l7WJ3RER9xtqwdhxkhw/edit?usp=sharing"",""ปราจีนบุรี!J297"")"),30)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IFERROR(__xludf.DUMMYFUNCTION("IMPORTRANGE(""https://docs.google.com/spreadsheets/d/1SX6NBoVAgQJ6U1MVXOaj8PK2l7WJ3RER9xtqwdhxkhw/edit?usp=sharing"",""ปราจีนบุรี!L298"")"),0)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IFERROR(__xludf.DUMMYFUNCTION("IMPORTRANGE(""https://docs.google.com/spreadsheets/d/1SX6NBoVAgQJ6U1MVXOaj8PK2l7WJ3RER9xtqwdhxkhw/edit?usp=sharing"",""ปราจีนบุรี!M298"")"),0)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IFERROR(__xludf.DUMMYFUNCTION("IMPORTRANGE(""https://docs.google.com/spreadsheets/d/1SX6NBoVAgQJ6U1MVXOaj8PK2l7WJ3RER9xtqwdhxkhw/edit?usp=sharing"",""ปราจีนบุรี!L299"")"),116320)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IFERROR(__xludf.DUMMYFUNCTION("IMPORTRANGE(""https://docs.google.com/spreadsheets/d/1SX6NBoVAgQJ6U1MVXOaj8PK2l7WJ3RER9xtqwdhxkhw/edit?usp=sharing"",""ปราจีนบุรี!M299"")"),74380)</f>
        <v>74380</v>
      </c>
      <c r="O404" s="169">
        <f t="shared" ca="1" si="112"/>
        <v>63.944291609353506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IFERROR(__xludf.DUMMYFUNCTION("IMPORTRANGE(""https://docs.google.com/spreadsheets/d/1SX6NBoVAgQJ6U1MVXOaj8PK2l7WJ3RER9xtqwdhxkhw/edit?usp=sharing"",""ปราจีนบุรี!L300"")"),0)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IFERROR(__xludf.DUMMYFUNCTION("IMPORTRANGE(""https://docs.google.com/spreadsheets/d/1SX6NBoVAgQJ6U1MVXOaj8PK2l7WJ3RER9xtqwdhxkhw/edit?usp=sharing"",""ปราจีนบุรี!M300"")"),0)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IFERROR(__xludf.DUMMYFUNCTION("IMPORTRANGE(""https://docs.google.com/spreadsheets/d/1SX6NBoVAgQJ6U1MVXOaj8PK2l7WJ3RER9xtqwdhxkhw/edit?usp=sharing"",""ปราจีนบุรี!L301"")"),116320)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IFERROR(__xludf.DUMMYFUNCTION("IMPORTRANGE(""https://docs.google.com/spreadsheets/d/1SX6NBoVAgQJ6U1MVXOaj8PK2l7WJ3RER9xtqwdhxkhw/edit?usp=sharing"",""ปราจีนบุรี!M301"")"),74380)</f>
        <v>74380</v>
      </c>
      <c r="O406" s="169">
        <f t="shared" ca="1" si="112"/>
        <v>63.944291609353506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IFERROR(__xludf.DUMMYFUNCTION("IMPORTRANGE(""https://docs.google.com/spreadsheets/d/1SX6NBoVAgQJ6U1MVXOaj8PK2l7WJ3RER9xtqwdhxkhw/edit?usp=sharing"",""ปราจีนบุรี!M302"")"),53440)</f>
        <v>53440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IFERROR(__xludf.DUMMYFUNCTION("IMPORTRANGE(""https://docs.google.com/spreadsheets/d/1SX6NBoVAgQJ6U1MVXOaj8PK2l7WJ3RER9xtqwdhxkhw/edit?usp=sharing"",""ปราจีนบุรี!M303"")"),0)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IFERROR(__xludf.DUMMYFUNCTION("IMPORTRANGE(""https://docs.google.com/spreadsheets/d/1SX6NBoVAgQJ6U1MVXOaj8PK2l7WJ3RER9xtqwdhxkhw/edit?usp=sharing"",""ปราจีนบุรี!M304"")"),0)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IFERROR(__xludf.DUMMYFUNCTION("IMPORTRANGE(""https://docs.google.com/spreadsheets/d/1SX6NBoVAgQJ6U1MVXOaj8PK2l7WJ3RER9xtqwdhxkhw/edit?usp=sharing"",""ปราจีนบุรี!M305"")"),20940)</f>
        <v>20940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IFERROR(__xludf.DUMMYFUNCTION("IMPORTRANGE(""https://docs.google.com/spreadsheets/d/1SX6NBoVAgQJ6U1MVXOaj8PK2l7WJ3RER9xtqwdhxkhw/edit?usp=sharing"",""ปราจีนบุรี!J307"")"),0)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IFERROR(__xludf.DUMMYFUNCTION("IMPORTRANGE(""https://docs.google.com/spreadsheets/d/1SX6NBoVAgQJ6U1MVXOaj8PK2l7WJ3RER9xtqwdhxkhw/edit?usp=sharing"",""ปราจีนบุรี!J308"")"),1)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IFERROR(__xludf.DUMMYFUNCTION("IMPORTRANGE(""https://docs.google.com/spreadsheets/d/1SX6NBoVAgQJ6U1MVXOaj8PK2l7WJ3RER9xtqwdhxkhw/edit?usp=sharing"",""ปราจีนบุรี!J309"")"),1)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IFERROR(__xludf.DUMMYFUNCTION("IMPORTRANGE(""https://docs.google.com/spreadsheets/d/1SX6NBoVAgQJ6U1MVXOaj8PK2l7WJ3RER9xtqwdhxkhw/edit?usp=sharing"",""ปราจีนบุรี!J310"")"),1)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IFERROR(__xludf.DUMMYFUNCTION("IMPORTRANGE(""https://docs.google.com/spreadsheets/d/1SX6NBoVAgQJ6U1MVXOaj8PK2l7WJ3RER9xtqwdhxkhw/edit?usp=sharing"",""ปราจีนบุรี!I311"")"),30)</f>
        <v>30</v>
      </c>
      <c r="J416" s="201">
        <f ca="1">IFERROR(__xludf.DUMMYFUNCTION("IMPORTRANGE(""https://docs.google.com/spreadsheets/d/1SX6NBoVAgQJ6U1MVXOaj8PK2l7WJ3RER9xtqwdhxkhw/edit?usp=sharing"",""ปราจีนบุรี!J311"")"),30)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IFERROR(__xludf.DUMMYFUNCTION("IMPORTRANGE(""https://docs.google.com/spreadsheets/d/1SX6NBoVAgQJ6U1MVXOaj8PK2l7WJ3RER9xtqwdhxkhw/edit?usp=sharing"",""ปราจีนบุรี!I312"")"),10)</f>
        <v>10</v>
      </c>
      <c r="J417" s="392">
        <f ca="1">IFERROR(__xludf.DUMMYFUNCTION("IMPORTRANGE(""https://docs.google.com/spreadsheets/d/1SX6NBoVAgQJ6U1MVXOaj8PK2l7WJ3RER9xtqwdhxkhw/edit?usp=sharing"",""ปราจีนบุรี!J312"")"),10)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IFERROR(__xludf.DUMMYFUNCTION("IMPORTRANGE(""https://docs.google.com/spreadsheets/d/1SX6NBoVAgQJ6U1MVXOaj8PK2l7WJ3RER9xtqwdhxkhw/edit?usp=sharing"",""ปราจีนบุรี!I313"")"),30)</f>
        <v>30</v>
      </c>
      <c r="J418" s="393">
        <f ca="1">IFERROR(__xludf.DUMMYFUNCTION("IMPORTRANGE(""https://docs.google.com/spreadsheets/d/1SX6NBoVAgQJ6U1MVXOaj8PK2l7WJ3RER9xtqwdhxkhw/edit?usp=sharing"",""ปราจีนบุรี!J313"")"),30)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IFERROR(__xludf.DUMMYFUNCTION("IMPORTRANGE(""https://docs.google.com/spreadsheets/d/1SX6NBoVAgQJ6U1MVXOaj8PK2l7WJ3RER9xtqwdhxkhw/edit?usp=sharing"",""ปราจีนบุรี!I314"")"),10)</f>
        <v>10</v>
      </c>
      <c r="J419" s="394">
        <f ca="1">IFERROR(__xludf.DUMMYFUNCTION("IMPORTRANGE(""https://docs.google.com/spreadsheets/d/1SX6NBoVAgQJ6U1MVXOaj8PK2l7WJ3RER9xtqwdhxkhw/edit?usp=sharing"",""ปราจีนบุรี!J314"")"),10)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IFERROR(__xludf.DUMMYFUNCTION("IMPORTRANGE(""https://docs.google.com/spreadsheets/d/1SX6NBoVAgQJ6U1MVXOaj8PK2l7WJ3RER9xtqwdhxkhw/edit?usp=sharing"",""ปราจีนบุรี!I315"")"),10)</f>
        <v>10</v>
      </c>
      <c r="J420" s="394">
        <f ca="1">IFERROR(__xludf.DUMMYFUNCTION("IMPORTRANGE(""https://docs.google.com/spreadsheets/d/1SX6NBoVAgQJ6U1MVXOaj8PK2l7WJ3RER9xtqwdhxkhw/edit?usp=sharing"",""ปราจีนบุรี!J315"")"),10)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IFERROR(__xludf.DUMMYFUNCTION("IMPORTRANGE(""https://docs.google.com/spreadsheets/d/1SX6NBoVAgQJ6U1MVXOaj8PK2l7WJ3RER9xtqwdhxkhw/edit?usp=sharing"",""ปราจีนบุรี!I316"")"),10)</f>
        <v>10</v>
      </c>
      <c r="J421" s="392">
        <f ca="1">IFERROR(__xludf.DUMMYFUNCTION("IMPORTRANGE(""https://docs.google.com/spreadsheets/d/1SX6NBoVAgQJ6U1MVXOaj8PK2l7WJ3RER9xtqwdhxkhw/edit?usp=sharing"",""ปราจีนบุรี!J316"")"),10)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IFERROR(__xludf.DUMMYFUNCTION("IMPORTRANGE(""https://docs.google.com/spreadsheets/d/1SX6NBoVAgQJ6U1MVXOaj8PK2l7WJ3RER9xtqwdhxkhw/edit?usp=sharing"",""ปราจีนบุรี!I317"")"),30)</f>
        <v>30</v>
      </c>
      <c r="J422" s="393">
        <f ca="1">IFERROR(__xludf.DUMMYFUNCTION("IMPORTRANGE(""https://docs.google.com/spreadsheets/d/1SX6NBoVAgQJ6U1MVXOaj8PK2l7WJ3RER9xtqwdhxkhw/edit?usp=sharing"",""ปราจีนบุรี!J317"")"),30)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IFERROR(__xludf.DUMMYFUNCTION("IMPORTRANGE(""https://docs.google.com/spreadsheets/d/1SX6NBoVAgQJ6U1MVXOaj8PK2l7WJ3RER9xtqwdhxkhw/edit?usp=sharing"",""ปราจีนบุรี!I318"")"),10)</f>
        <v>10</v>
      </c>
      <c r="J423" s="394">
        <f ca="1">IFERROR(__xludf.DUMMYFUNCTION("IMPORTRANGE(""https://docs.google.com/spreadsheets/d/1SX6NBoVAgQJ6U1MVXOaj8PK2l7WJ3RER9xtqwdhxkhw/edit?usp=sharing"",""ปราจีนบุรี!J318"")"),10)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IFERROR(__xludf.DUMMYFUNCTION("IMPORTRANGE(""https://docs.google.com/spreadsheets/d/1SX6NBoVAgQJ6U1MVXOaj8PK2l7WJ3RER9xtqwdhxkhw/edit?usp=sharing"",""ปราจีนบุรี!I319"")"),10)</f>
        <v>10</v>
      </c>
      <c r="J424" s="394">
        <f ca="1">IFERROR(__xludf.DUMMYFUNCTION("IMPORTRANGE(""https://docs.google.com/spreadsheets/d/1SX6NBoVAgQJ6U1MVXOaj8PK2l7WJ3RER9xtqwdhxkhw/edit?usp=sharing"",""ปราจีนบุรี!J319"")"),10)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IFERROR(__xludf.DUMMYFUNCTION("IMPORTRANGE(""https://docs.google.com/spreadsheets/d/1SX6NBoVAgQJ6U1MVXOaj8PK2l7WJ3RER9xtqwdhxkhw/edit?usp=sharing"",""ปราจีนบุรี!I320"")"),10)</f>
        <v>10</v>
      </c>
      <c r="J425" s="394">
        <f ca="1">IFERROR(__xludf.DUMMYFUNCTION("IMPORTRANGE(""https://docs.google.com/spreadsheets/d/1SX6NBoVAgQJ6U1MVXOaj8PK2l7WJ3RER9xtqwdhxkhw/edit?usp=sharing"",""ปราจีนบุรี!J320"")"),10)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IFERROR(__xludf.DUMMYFUNCTION("IMPORTRANGE(""https://docs.google.com/spreadsheets/d/1SX6NBoVAgQJ6U1MVXOaj8PK2l7WJ3RER9xtqwdhxkhw/edit?usp=sharing"",""ปราจีนบุรี!I321"")"),10)</f>
        <v>10</v>
      </c>
      <c r="J426" s="392">
        <f ca="1">IFERROR(__xludf.DUMMYFUNCTION("IMPORTRANGE(""https://docs.google.com/spreadsheets/d/1SX6NBoVAgQJ6U1MVXOaj8PK2l7WJ3RER9xtqwdhxkhw/edit?usp=sharing"",""ปราจีนบุรี!J321"")"),10)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IFERROR(__xludf.DUMMYFUNCTION("IMPORTRANGE(""https://docs.google.com/spreadsheets/d/1SX6NBoVAgQJ6U1MVXOaj8PK2l7WJ3RER9xtqwdhxkhw/edit?usp=sharing"",""ปราจีนบุรี!I322"")"),30)</f>
        <v>30</v>
      </c>
      <c r="J427" s="393">
        <f ca="1">IFERROR(__xludf.DUMMYFUNCTION("IMPORTRANGE(""https://docs.google.com/spreadsheets/d/1SX6NBoVAgQJ6U1MVXOaj8PK2l7WJ3RER9xtqwdhxkhw/edit?usp=sharing"",""ปราจีนบุรี!J322"")"),30)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IFERROR(__xludf.DUMMYFUNCTION("IMPORTRANGE(""https://docs.google.com/spreadsheets/d/1SX6NBoVAgQJ6U1MVXOaj8PK2l7WJ3RER9xtqwdhxkhw/edit?usp=sharing"",""ปราจีนบุรี!I323"")"),10)</f>
        <v>10</v>
      </c>
      <c r="J428" s="394">
        <f ca="1">IFERROR(__xludf.DUMMYFUNCTION("IMPORTRANGE(""https://docs.google.com/spreadsheets/d/1SX6NBoVAgQJ6U1MVXOaj8PK2l7WJ3RER9xtqwdhxkhw/edit?usp=sharing"",""ปราจีนบุรี!J323"")"),10)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IFERROR(__xludf.DUMMYFUNCTION("IMPORTRANGE(""https://docs.google.com/spreadsheets/d/1SX6NBoVAgQJ6U1MVXOaj8PK2l7WJ3RER9xtqwdhxkhw/edit?usp=sharing"",""ปราจีนบุรี!I324"")"),10)</f>
        <v>10</v>
      </c>
      <c r="J429" s="394">
        <f ca="1">IFERROR(__xludf.DUMMYFUNCTION("IMPORTRANGE(""https://docs.google.com/spreadsheets/d/1SX6NBoVAgQJ6U1MVXOaj8PK2l7WJ3RER9xtqwdhxkhw/edit?usp=sharing"",""ปราจีนบุรี!J324"")"),10)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IFERROR(__xludf.DUMMYFUNCTION("IMPORTRANGE(""https://docs.google.com/spreadsheets/d/1SX6NBoVAgQJ6U1MVXOaj8PK2l7WJ3RER9xtqwdhxkhw/edit?usp=sharing"",""ปราจีนบุรี!I325"")"),20)</f>
        <v>20</v>
      </c>
      <c r="J430" s="392">
        <f ca="1">IFERROR(__xludf.DUMMYFUNCTION("IMPORTRANGE(""https://docs.google.com/spreadsheets/d/1SX6NBoVAgQJ6U1MVXOaj8PK2l7WJ3RER9xtqwdhxkhw/edit?usp=sharing"",""ปราจีนบุรี!J325"")"),0)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IFERROR(__xludf.DUMMYFUNCTION("IMPORTRANGE(""https://docs.google.com/spreadsheets/d/1SX6NBoVAgQJ6U1MVXOaj8PK2l7WJ3RER9xtqwdhxkhw/edit?usp=sharing"",""ปราจีนบุรี!I326"")"),10)</f>
        <v>10</v>
      </c>
      <c r="J431" s="394">
        <f ca="1">IFERROR(__xludf.DUMMYFUNCTION("IMPORTRANGE(""https://docs.google.com/spreadsheets/d/1SX6NBoVAgQJ6U1MVXOaj8PK2l7WJ3RER9xtqwdhxkhw/edit?usp=sharing"",""ปราจีนบุรี!J326"")"),0)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IFERROR(__xludf.DUMMYFUNCTION("IMPORTRANGE(""https://docs.google.com/spreadsheets/d/1SX6NBoVAgQJ6U1MVXOaj8PK2l7WJ3RER9xtqwdhxkhw/edit?usp=sharing"",""ปราจีนบุรี!I327"")"),10)</f>
        <v>10</v>
      </c>
      <c r="J432" s="394">
        <f ca="1">IFERROR(__xludf.DUMMYFUNCTION("IMPORTRANGE(""https://docs.google.com/spreadsheets/d/1SX6NBoVAgQJ6U1MVXOaj8PK2l7WJ3RER9xtqwdhxkhw/edit?usp=sharing"",""ปราจีนบุรี!J327"")"),0)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IFERROR(__xludf.DUMMYFUNCTION("IMPORTRANGE(""https://docs.google.com/spreadsheets/d/1SX6NBoVAgQJ6U1MVXOaj8PK2l7WJ3RER9xtqwdhxkhw/edit?usp=sharing"",""ปราจีนบุรี!J328"")"),0)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IFERROR(__xludf.DUMMYFUNCTION("IMPORTRANGE(""https://docs.google.com/spreadsheets/d/1SX6NBoVAgQJ6U1MVXOaj8PK2l7WJ3RER9xtqwdhxkhw/edit?usp=sharing"",""ปราจีนบุรี!J329"")"),0)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IFERROR(__xludf.DUMMYFUNCTION("IMPORTRANGE(""https://docs.google.com/spreadsheets/d/1SX6NBoVAgQJ6U1MVXOaj8PK2l7WJ3RER9xtqwdhxkhw/edit?usp=sharing"",""ปราจีนบุรี!I330"")"),10)</f>
        <v>10</v>
      </c>
      <c r="J435" s="410">
        <f ca="1">IFERROR(__xludf.DUMMYFUNCTION("IMPORTRANGE(""https://docs.google.com/spreadsheets/d/1SX6NBoVAgQJ6U1MVXOaj8PK2l7WJ3RER9xtqwdhxkhw/edit?usp=sharing"",""ปราจีนบุรี!J330"")"),10)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IFERROR(__xludf.DUMMYFUNCTION("IMPORTRANGE(""https://docs.google.com/spreadsheets/d/1SX6NBoVAgQJ6U1MVXOaj8PK2l7WJ3RER9xtqwdhxkhw/edit?usp=sharing"",""ปราจีนบุรี!L330"")"),76000)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IFERROR(__xludf.DUMMYFUNCTION("IMPORTRANGE(""https://docs.google.com/spreadsheets/d/1SX6NBoVAgQJ6U1MVXOaj8PK2l7WJ3RER9xtqwdhxkhw/edit?usp=sharing"",""ปราจีนบุรี!M330"")"),64520)</f>
        <v>64520</v>
      </c>
      <c r="O435" s="412">
        <f t="shared" ref="O435:O439" ca="1" si="114">+IF(L435&gt;0,N435*100/L435,0)</f>
        <v>84.89473684210526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IFERROR(__xludf.DUMMYFUNCTION("IMPORTRANGE(""https://docs.google.com/spreadsheets/d/1SX6NBoVAgQJ6U1MVXOaj8PK2l7WJ3RER9xtqwdhxkhw/edit?usp=sharing"",""ปราจีนบุรี!L331"")"),0)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IFERROR(__xludf.DUMMYFUNCTION("IMPORTRANGE(""https://docs.google.com/spreadsheets/d/1SX6NBoVAgQJ6U1MVXOaj8PK2l7WJ3RER9xtqwdhxkhw/edit?usp=sharing"",""ปราจีนบุรี!M331"")"),0)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IFERROR(__xludf.DUMMYFUNCTION("IMPORTRANGE(""https://docs.google.com/spreadsheets/d/1SX6NBoVAgQJ6U1MVXOaj8PK2l7WJ3RER9xtqwdhxkhw/edit?usp=sharing"",""ปราจีนบุรี!L332"")"),76000)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IFERROR(__xludf.DUMMYFUNCTION("IMPORTRANGE(""https://docs.google.com/spreadsheets/d/1SX6NBoVAgQJ6U1MVXOaj8PK2l7WJ3RER9xtqwdhxkhw/edit?usp=sharing"",""ปราจีนบุรี!M332"")"),64520)</f>
        <v>64520</v>
      </c>
      <c r="O437" s="169">
        <f t="shared" ca="1" si="114"/>
        <v>84.89473684210526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IFERROR(__xludf.DUMMYFUNCTION("IMPORTRANGE(""https://docs.google.com/spreadsheets/d/1SX6NBoVAgQJ6U1MVXOaj8PK2l7WJ3RER9xtqwdhxkhw/edit?usp=sharing"",""ปราจีนบุรี!L333"")"),0)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IFERROR(__xludf.DUMMYFUNCTION("IMPORTRANGE(""https://docs.google.com/spreadsheets/d/1SX6NBoVAgQJ6U1MVXOaj8PK2l7WJ3RER9xtqwdhxkhw/edit?usp=sharing"",""ปราจีนบุรี!M333"")"),0)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IFERROR(__xludf.DUMMYFUNCTION("IMPORTRANGE(""https://docs.google.com/spreadsheets/d/1SX6NBoVAgQJ6U1MVXOaj8PK2l7WJ3RER9xtqwdhxkhw/edit?usp=sharing"",""ปราจีนบุรี!L334"")"),76000)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IFERROR(__xludf.DUMMYFUNCTION("IMPORTRANGE(""https://docs.google.com/spreadsheets/d/1SX6NBoVAgQJ6U1MVXOaj8PK2l7WJ3RER9xtqwdhxkhw/edit?usp=sharing"",""ปราจีนบุรี!M334"")"),64520)</f>
        <v>64520</v>
      </c>
      <c r="O439" s="169">
        <f t="shared" ca="1" si="114"/>
        <v>84.89473684210526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IFERROR(__xludf.DUMMYFUNCTION("IMPORTRANGE(""https://docs.google.com/spreadsheets/d/1SX6NBoVAgQJ6U1MVXOaj8PK2l7WJ3RER9xtqwdhxkhw/edit?usp=sharing"",""ปราจีนบุรี!M335"")"),22240)</f>
        <v>22240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IFERROR(__xludf.DUMMYFUNCTION("IMPORTRANGE(""https://docs.google.com/spreadsheets/d/1SX6NBoVAgQJ6U1MVXOaj8PK2l7WJ3RER9xtqwdhxkhw/edit?usp=sharing"",""ปราจีนบุรี!M336"")"),0)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IFERROR(__xludf.DUMMYFUNCTION("IMPORTRANGE(""https://docs.google.com/spreadsheets/d/1SX6NBoVAgQJ6U1MVXOaj8PK2l7WJ3RER9xtqwdhxkhw/edit?usp=sharing"",""ปราจีนบุรี!M337"")"),0)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IFERROR(__xludf.DUMMYFUNCTION("IMPORTRANGE(""https://docs.google.com/spreadsheets/d/1SX6NBoVAgQJ6U1MVXOaj8PK2l7WJ3RER9xtqwdhxkhw/edit?usp=sharing"",""ปราจีนบุรี!M338"")"),42280)</f>
        <v>42280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IFERROR(__xludf.DUMMYFUNCTION("IMPORTRANGE(""https://docs.google.com/spreadsheets/d/1SX6NBoVAgQJ6U1MVXOaj8PK2l7WJ3RER9xtqwdhxkhw/edit?usp=sharing"",""ปราจีนบุรี!J340"")"),0)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IFERROR(__xludf.DUMMYFUNCTION("IMPORTRANGE(""https://docs.google.com/spreadsheets/d/1SX6NBoVAgQJ6U1MVXOaj8PK2l7WJ3RER9xtqwdhxkhw/edit?usp=sharing"",""ปราจีนบุรี!J341"")"),1)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IFERROR(__xludf.DUMMYFUNCTION("IMPORTRANGE(""https://docs.google.com/spreadsheets/d/1SX6NBoVAgQJ6U1MVXOaj8PK2l7WJ3RER9xtqwdhxkhw/edit?usp=sharing"",""ปราจีนบุรี!J342"")"),1)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IFERROR(__xludf.DUMMYFUNCTION("IMPORTRANGE(""https://docs.google.com/spreadsheets/d/1SX6NBoVAgQJ6U1MVXOaj8PK2l7WJ3RER9xtqwdhxkhw/edit?usp=sharing"",""ปราจีนบุรี!J343"")"),1)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IFERROR(__xludf.DUMMYFUNCTION("IMPORTRANGE(""https://docs.google.com/spreadsheets/d/1SX6NBoVAgQJ6U1MVXOaj8PK2l7WJ3RER9xtqwdhxkhw/edit?usp=sharing"",""ปราจีนบุรี!I344"")"),10)</f>
        <v>10</v>
      </c>
      <c r="J449" s="201">
        <f ca="1">IFERROR(__xludf.DUMMYFUNCTION("IMPORTRANGE(""https://docs.google.com/spreadsheets/d/1SX6NBoVAgQJ6U1MVXOaj8PK2l7WJ3RER9xtqwdhxkhw/edit?usp=sharing"",""ปราจีนบุรี!J344"")"),10)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IFERROR(__xludf.DUMMYFUNCTION("IMPORTRANGE(""https://docs.google.com/spreadsheets/d/1SX6NBoVAgQJ6U1MVXOaj8PK2l7WJ3RER9xtqwdhxkhw/edit?usp=sharing"",""ปราจีนบุรี!I345"")"),10)</f>
        <v>10</v>
      </c>
      <c r="J450" s="189">
        <f ca="1">IFERROR(__xludf.DUMMYFUNCTION("IMPORTRANGE(""https://docs.google.com/spreadsheets/d/1SX6NBoVAgQJ6U1MVXOaj8PK2l7WJ3RER9xtqwdhxkhw/edit?usp=sharing"",""ปราจีนบุรี!J345"")"),10)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IFERROR(__xludf.DUMMYFUNCTION("IMPORTRANGE(""https://docs.google.com/spreadsheets/d/1SX6NBoVAgQJ6U1MVXOaj8PK2l7WJ3RER9xtqwdhxkhw/edit?usp=sharing"",""ปราจีนบุรี!I346"")"),0)</f>
        <v>0</v>
      </c>
      <c r="J451" s="188">
        <f ca="1">IFERROR(__xludf.DUMMYFUNCTION("IMPORTRANGE(""https://docs.google.com/spreadsheets/d/1SX6NBoVAgQJ6U1MVXOaj8PK2l7WJ3RER9xtqwdhxkhw/edit?usp=sharing"",""ปราจีนบุรี!J346"")"),0)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IFERROR(__xludf.DUMMYFUNCTION("IMPORTRANGE(""https://docs.google.com/spreadsheets/d/1SX6NBoVAgQJ6U1MVXOaj8PK2l7WJ3RER9xtqwdhxkhw/edit?usp=sharing"",""ปราจีนบุรี!I347"")"),0)</f>
        <v>0</v>
      </c>
      <c r="J452" s="188">
        <f ca="1">IFERROR(__xludf.DUMMYFUNCTION("IMPORTRANGE(""https://docs.google.com/spreadsheets/d/1SX6NBoVAgQJ6U1MVXOaj8PK2l7WJ3RER9xtqwdhxkhw/edit?usp=sharing"",""ปราจีนบุรี!J347"")"),0)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IFERROR(__xludf.DUMMYFUNCTION("IMPORTRANGE(""https://docs.google.com/spreadsheets/d/1SX6NBoVAgQJ6U1MVXOaj8PK2l7WJ3RER9xtqwdhxkhw/edit?usp=sharing"",""ปราจีนบุรี!J348"")"),0)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IFERROR(__xludf.DUMMYFUNCTION("IMPORTRANGE(""https://docs.google.com/spreadsheets/d/1SX6NBoVAgQJ6U1MVXOaj8PK2l7WJ3RER9xtqwdhxkhw/edit?usp=sharing"",""ปราจีนบุรี!J349"")"),0)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IFERROR(__xludf.DUMMYFUNCTION("IMPORTRANGE(""https://docs.google.com/spreadsheets/d/1SX6NBoVAgQJ6U1MVXOaj8PK2l7WJ3RER9xtqwdhxkhw/edit?usp=sharing"",""ปราจีนบุรี!I350"")"),2314)</f>
        <v>2314</v>
      </c>
      <c r="J455" s="371">
        <f ca="1">IFERROR(__xludf.DUMMYFUNCTION("IMPORTRANGE(""https://docs.google.com/spreadsheets/d/1SX6NBoVAgQJ6U1MVXOaj8PK2l7WJ3RER9xtqwdhxkhw/edit?usp=sharing"",""ปราจีนบุรี!J350"")"),2309.79)</f>
        <v>2309.79</v>
      </c>
      <c r="K455" s="372">
        <f ca="1">IF(I455&gt;0,J455*100/I455,0)</f>
        <v>99.818063958513392</v>
      </c>
      <c r="L455" s="373">
        <f ca="1">IFERROR(__xludf.DUMMYFUNCTION("IMPORTRANGE(""https://docs.google.com/spreadsheets/d/1SX6NBoVAgQJ6U1MVXOaj8PK2l7WJ3RER9xtqwdhxkhw/edit?usp=sharing"",""ปราจีนบุรี!L350"")"),57554)</f>
        <v>57554</v>
      </c>
      <c r="M455" s="373"/>
      <c r="N455" s="373">
        <f ca="1">IFERROR(__xludf.DUMMYFUNCTION("IMPORTRANGE(""https://docs.google.com/spreadsheets/d/1SX6NBoVAgQJ6U1MVXOaj8PK2l7WJ3RER9xtqwdhxkhw/edit?usp=sharing"",""ปราจีนบุรี!M350"")"),15145)</f>
        <v>15145</v>
      </c>
      <c r="O455" s="373">
        <f t="shared" ref="O455:O459" ca="1" si="116">+IF(L455&gt;0,N455*100/L455,0)</f>
        <v>26.314417764186675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IFERROR(__xludf.DUMMYFUNCTION("IMPORTRANGE(""https://docs.google.com/spreadsheets/d/1SX6NBoVAgQJ6U1MVXOaj8PK2l7WJ3RER9xtqwdhxkhw/edit?usp=sharing"",""ปราจีนบุรี!L351"")"),0)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IFERROR(__xludf.DUMMYFUNCTION("IMPORTRANGE(""https://docs.google.com/spreadsheets/d/1SX6NBoVAgQJ6U1MVXOaj8PK2l7WJ3RER9xtqwdhxkhw/edit?usp=sharing"",""ปราจีนบุรี!M351"")"),0)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IFERROR(__xludf.DUMMYFUNCTION("IMPORTRANGE(""https://docs.google.com/spreadsheets/d/1SX6NBoVAgQJ6U1MVXOaj8PK2l7WJ3RER9xtqwdhxkhw/edit?usp=sharing"",""ปราจีนบุรี!L352"")"),57554)</f>
        <v>57554</v>
      </c>
      <c r="M457" s="165"/>
      <c r="N457" s="169">
        <f ca="1">IFERROR(__xludf.DUMMYFUNCTION("IMPORTRANGE(""https://docs.google.com/spreadsheets/d/1SX6NBoVAgQJ6U1MVXOaj8PK2l7WJ3RER9xtqwdhxkhw/edit?usp=sharing"",""ปราจีนบุรี!M352"")"),15145)</f>
        <v>15145</v>
      </c>
      <c r="O457" s="169">
        <f t="shared" ca="1" si="116"/>
        <v>26.314417764186675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IFERROR(__xludf.DUMMYFUNCTION("IMPORTRANGE(""https://docs.google.com/spreadsheets/d/1SX6NBoVAgQJ6U1MVXOaj8PK2l7WJ3RER9xtqwdhxkhw/edit?usp=sharing"",""ปราจีนบุรี!L353"")"),0)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IFERROR(__xludf.DUMMYFUNCTION("IMPORTRANGE(""https://docs.google.com/spreadsheets/d/1SX6NBoVAgQJ6U1MVXOaj8PK2l7WJ3RER9xtqwdhxkhw/edit?usp=sharing"",""ปราจีนบุรี!M353"")"),0)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IFERROR(__xludf.DUMMYFUNCTION("IMPORTRANGE(""https://docs.google.com/spreadsheets/d/1SX6NBoVAgQJ6U1MVXOaj8PK2l7WJ3RER9xtqwdhxkhw/edit?usp=sharing"",""ปราจีนบุรี!L354"")"),57554)</f>
        <v>57554</v>
      </c>
      <c r="M459" s="169"/>
      <c r="N459" s="169">
        <f ca="1">IFERROR(__xludf.DUMMYFUNCTION("IMPORTRANGE(""https://docs.google.com/spreadsheets/d/1SX6NBoVAgQJ6U1MVXOaj8PK2l7WJ3RER9xtqwdhxkhw/edit?usp=sharing"",""ปราจีนบุรี!M354"")"),15145)</f>
        <v>15145</v>
      </c>
      <c r="O459" s="169">
        <f t="shared" ca="1" si="116"/>
        <v>26.314417764186675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IFERROR(__xludf.DUMMYFUNCTION("IMPORTRANGE(""https://docs.google.com/spreadsheets/d/1SX6NBoVAgQJ6U1MVXOaj8PK2l7WJ3RER9xtqwdhxkhw/edit?usp=sharing"",""ปราจีนบุรี!M355"")"),0)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IFERROR(__xludf.DUMMYFUNCTION("IMPORTRANGE(""https://docs.google.com/spreadsheets/d/1SX6NBoVAgQJ6U1MVXOaj8PK2l7WJ3RER9xtqwdhxkhw/edit?usp=sharing"",""ปราจีนบุรี!M356"")"),0)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IFERROR(__xludf.DUMMYFUNCTION("IMPORTRANGE(""https://docs.google.com/spreadsheets/d/1SX6NBoVAgQJ6U1MVXOaj8PK2l7WJ3RER9xtqwdhxkhw/edit?usp=sharing"",""ปราจีนบุรี!M357"")"),0)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IFERROR(__xludf.DUMMYFUNCTION("IMPORTRANGE(""https://docs.google.com/spreadsheets/d/1SX6NBoVAgQJ6U1MVXOaj8PK2l7WJ3RER9xtqwdhxkhw/edit?usp=sharing"",""ปราจีนบุรี!M358"")"),15145)</f>
        <v>15145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IFERROR(__xludf.DUMMYFUNCTION("IMPORTRANGE(""https://docs.google.com/spreadsheets/d/1SX6NBoVAgQJ6U1MVXOaj8PK2l7WJ3RER9xtqwdhxkhw/edit?usp=sharing"",""ปราจีนบุรี!I359"")"),2314)</f>
        <v>2314</v>
      </c>
      <c r="J464" s="267">
        <f ca="1">IFERROR(__xludf.DUMMYFUNCTION("IMPORTRANGE(""https://docs.google.com/spreadsheets/d/1SX6NBoVAgQJ6U1MVXOaj8PK2l7WJ3RER9xtqwdhxkhw/edit?usp=sharing"",""ปราจีนบุรี!J359"")"),2309.79)</f>
        <v>2309.79</v>
      </c>
      <c r="K464" s="268">
        <f t="shared" ref="K464:K515" ca="1" si="117">IF(I464&gt;0,J464*100/I464,0)</f>
        <v>99.818063958513392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IFERROR(__xludf.DUMMYFUNCTION("IMPORTRANGE(""https://docs.google.com/spreadsheets/d/1SX6NBoVAgQJ6U1MVXOaj8PK2l7WJ3RER9xtqwdhxkhw/edit?usp=sharing"",""ปราจีนบุรี!I360"")"),2314)</f>
        <v>2314</v>
      </c>
      <c r="J465" s="420">
        <f ca="1">IFERROR(__xludf.DUMMYFUNCTION("IMPORTRANGE(""https://docs.google.com/spreadsheets/d/1SX6NBoVAgQJ6U1MVXOaj8PK2l7WJ3RER9xtqwdhxkhw/edit?usp=sharing"",""ปราจีนบุรี!J360"")"),2257.04999999999)</f>
        <v>2257.0499999999902</v>
      </c>
      <c r="K465" s="202">
        <f t="shared" ca="1" si="117"/>
        <v>97.538893690578661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IFERROR(__xludf.DUMMYFUNCTION("IMPORTRANGE(""https://docs.google.com/spreadsheets/d/1SX6NBoVAgQJ6U1MVXOaj8PK2l7WJ3RER9xtqwdhxkhw/edit?usp=sharing"",""ปราจีนบุรี!I361"")"),142)</f>
        <v>142</v>
      </c>
      <c r="J466" s="420">
        <f ca="1">IFERROR(__xludf.DUMMYFUNCTION("IMPORTRANGE(""https://docs.google.com/spreadsheets/d/1SX6NBoVAgQJ6U1MVXOaj8PK2l7WJ3RER9xtqwdhxkhw/edit?usp=sharing"",""ปราจีนบุรี!J361"")"),141)</f>
        <v>141</v>
      </c>
      <c r="K466" s="202">
        <f t="shared" ca="1" si="117"/>
        <v>99.295774647887328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IFERROR(__xludf.DUMMYFUNCTION("IMPORTRANGE(""https://docs.google.com/spreadsheets/d/1SX6NBoVAgQJ6U1MVXOaj8PK2l7WJ3RER9xtqwdhxkhw/edit?usp=sharing"",""ปราจีนบุรี!I362"")"),0)</f>
        <v>0</v>
      </c>
      <c r="J467" s="189">
        <f ca="1">IFERROR(__xludf.DUMMYFUNCTION("IMPORTRANGE(""https://docs.google.com/spreadsheets/d/1SX6NBoVAgQJ6U1MVXOaj8PK2l7WJ3RER9xtqwdhxkhw/edit?usp=sharing"",""ปราจีนบุรี!J362"")"),1901.55)</f>
        <v>1901.55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IFERROR(__xludf.DUMMYFUNCTION("IMPORTRANGE(""https://docs.google.com/spreadsheets/d/1SX6NBoVAgQJ6U1MVXOaj8PK2l7WJ3RER9xtqwdhxkhw/edit?usp=sharing"",""ปราจีนบุรี!I363"")"),0)</f>
        <v>0</v>
      </c>
      <c r="J468" s="189">
        <f ca="1">IFERROR(__xludf.DUMMYFUNCTION("IMPORTRANGE(""https://docs.google.com/spreadsheets/d/1SX6NBoVAgQJ6U1MVXOaj8PK2l7WJ3RER9xtqwdhxkhw/edit?usp=sharing"",""ปราจีนบุรี!J363"")"),113)</f>
        <v>113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IFERROR(__xludf.DUMMYFUNCTION("IMPORTRANGE(""https://docs.google.com/spreadsheets/d/1SX6NBoVAgQJ6U1MVXOaj8PK2l7WJ3RER9xtqwdhxkhw/edit?usp=sharing"",""ปราจีนบุรี!I364"")"),0)</f>
        <v>0</v>
      </c>
      <c r="J469" s="189">
        <f ca="1">IFERROR(__xludf.DUMMYFUNCTION("IMPORTRANGE(""https://docs.google.com/spreadsheets/d/1SX6NBoVAgQJ6U1MVXOaj8PK2l7WJ3RER9xtqwdhxkhw/edit?usp=sharing"",""ปราจีนบุรี!J364"")"),189.09)</f>
        <v>189.09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IFERROR(__xludf.DUMMYFUNCTION("IMPORTRANGE(""https://docs.google.com/spreadsheets/d/1SX6NBoVAgQJ6U1MVXOaj8PK2l7WJ3RER9xtqwdhxkhw/edit?usp=sharing"",""ปราจีนบุรี!I365"")"),0)</f>
        <v>0</v>
      </c>
      <c r="J470" s="189">
        <f ca="1">IFERROR(__xludf.DUMMYFUNCTION("IMPORTRANGE(""https://docs.google.com/spreadsheets/d/1SX6NBoVAgQJ6U1MVXOaj8PK2l7WJ3RER9xtqwdhxkhw/edit?usp=sharing"",""ปราจีนบุรี!J365"")"),14)</f>
        <v>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IFERROR(__xludf.DUMMYFUNCTION("IMPORTRANGE(""https://docs.google.com/spreadsheets/d/1SX6NBoVAgQJ6U1MVXOaj8PK2l7WJ3RER9xtqwdhxkhw/edit?usp=sharing"",""ปราจีนบุรี!I366"")"),0)</f>
        <v>0</v>
      </c>
      <c r="J471" s="189">
        <f ca="1">IFERROR(__xludf.DUMMYFUNCTION("IMPORTRANGE(""https://docs.google.com/spreadsheets/d/1SX6NBoVAgQJ6U1MVXOaj8PK2l7WJ3RER9xtqwdhxkhw/edit?usp=sharing"",""ปราจีนบุรี!J366"")"),166.41)</f>
        <v>166.41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IFERROR(__xludf.DUMMYFUNCTION("IMPORTRANGE(""https://docs.google.com/spreadsheets/d/1SX6NBoVAgQJ6U1MVXOaj8PK2l7WJ3RER9xtqwdhxkhw/edit?usp=sharing"",""ปราจีนบุรี!I367"")"),0)</f>
        <v>0</v>
      </c>
      <c r="J472" s="189">
        <f ca="1">IFERROR(__xludf.DUMMYFUNCTION("IMPORTRANGE(""https://docs.google.com/spreadsheets/d/1SX6NBoVAgQJ6U1MVXOaj8PK2l7WJ3RER9xtqwdhxkhw/edit?usp=sharing"",""ปราจีนบุรี!J367"")"),14)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IFERROR(__xludf.DUMMYFUNCTION("IMPORTRANGE(""https://docs.google.com/spreadsheets/d/1SX6NBoVAgQJ6U1MVXOaj8PK2l7WJ3RER9xtqwdhxkhw/edit?usp=sharing"",""ปราจีนบุรี!I368"")"),2314)</f>
        <v>2314</v>
      </c>
      <c r="J473" s="420">
        <f ca="1">IFERROR(__xludf.DUMMYFUNCTION("IMPORTRANGE(""https://docs.google.com/spreadsheets/d/1SX6NBoVAgQJ6U1MVXOaj8PK2l7WJ3RER9xtqwdhxkhw/edit?usp=sharing"",""ปราจีนบุรี!J368"")"),2314.09)</f>
        <v>2314.09</v>
      </c>
      <c r="K473" s="202">
        <f t="shared" ca="1" si="117"/>
        <v>100.0038893690579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IFERROR(__xludf.DUMMYFUNCTION("IMPORTRANGE(""https://docs.google.com/spreadsheets/d/1SX6NBoVAgQJ6U1MVXOaj8PK2l7WJ3RER9xtqwdhxkhw/edit?usp=sharing"",""ปราจีนบุรี!I369"")"),142)</f>
        <v>142</v>
      </c>
      <c r="J474" s="420">
        <f ca="1">IFERROR(__xludf.DUMMYFUNCTION("IMPORTRANGE(""https://docs.google.com/spreadsheets/d/1SX6NBoVAgQJ6U1MVXOaj8PK2l7WJ3RER9xtqwdhxkhw/edit?usp=sharing"",""ปราจีนบุรี!J369"")"),141)</f>
        <v>141</v>
      </c>
      <c r="K474" s="202">
        <f t="shared" ca="1" si="117"/>
        <v>99.295774647887328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IFERROR(__xludf.DUMMYFUNCTION("IMPORTRANGE(""https://docs.google.com/spreadsheets/d/1SX6NBoVAgQJ6U1MVXOaj8PK2l7WJ3RER9xtqwdhxkhw/edit?usp=sharing"",""ปราจีนบุรี!I370"")"),0)</f>
        <v>0</v>
      </c>
      <c r="J475" s="189">
        <f ca="1">IFERROR(__xludf.DUMMYFUNCTION("IMPORTRANGE(""https://docs.google.com/spreadsheets/d/1SX6NBoVAgQJ6U1MVXOaj8PK2l7WJ3RER9xtqwdhxkhw/edit?usp=sharing"",""ปราจีนบุรี!J370"")"),1901.56)</f>
        <v>1901.56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IFERROR(__xludf.DUMMYFUNCTION("IMPORTRANGE(""https://docs.google.com/spreadsheets/d/1SX6NBoVAgQJ6U1MVXOaj8PK2l7WJ3RER9xtqwdhxkhw/edit?usp=sharing"",""ปราจีนบุรี!I371"")"),0)</f>
        <v>0</v>
      </c>
      <c r="J476" s="189">
        <f ca="1">IFERROR(__xludf.DUMMYFUNCTION("IMPORTRANGE(""https://docs.google.com/spreadsheets/d/1SX6NBoVAgQJ6U1MVXOaj8PK2l7WJ3RER9xtqwdhxkhw/edit?usp=sharing"",""ปราจีนบุรี!J371"")"),113)</f>
        <v>113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IFERROR(__xludf.DUMMYFUNCTION("IMPORTRANGE(""https://docs.google.com/spreadsheets/d/1SX6NBoVAgQJ6U1MVXOaj8PK2l7WJ3RER9xtqwdhxkhw/edit?usp=sharing"",""ปราจีนบุรี!I372"")"),0)</f>
        <v>0</v>
      </c>
      <c r="J477" s="189">
        <f ca="1">IFERROR(__xludf.DUMMYFUNCTION("IMPORTRANGE(""https://docs.google.com/spreadsheets/d/1SX6NBoVAgQJ6U1MVXOaj8PK2l7WJ3RER9xtqwdhxkhw/edit?usp=sharing"",""ปราจีนบุรี!J372"")"),246.53)</f>
        <v>246.53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IFERROR(__xludf.DUMMYFUNCTION("IMPORTRANGE(""https://docs.google.com/spreadsheets/d/1SX6NBoVAgQJ6U1MVXOaj8PK2l7WJ3RER9xtqwdhxkhw/edit?usp=sharing"",""ปราจีนบุรี!I373"")"),0)</f>
        <v>0</v>
      </c>
      <c r="J478" s="189">
        <f ca="1">IFERROR(__xludf.DUMMYFUNCTION("IMPORTRANGE(""https://docs.google.com/spreadsheets/d/1SX6NBoVAgQJ6U1MVXOaj8PK2l7WJ3RER9xtqwdhxkhw/edit?usp=sharing"",""ปราจีนบุรี!J373"")"),14)</f>
        <v>14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IFERROR(__xludf.DUMMYFUNCTION("IMPORTRANGE(""https://docs.google.com/spreadsheets/d/1SX6NBoVAgQJ6U1MVXOaj8PK2l7WJ3RER9xtqwdhxkhw/edit?usp=sharing"",""ปราจีนบุรี!I374"")"),0)</f>
        <v>0</v>
      </c>
      <c r="J479" s="189">
        <f ca="1">IFERROR(__xludf.DUMMYFUNCTION("IMPORTRANGE(""https://docs.google.com/spreadsheets/d/1SX6NBoVAgQJ6U1MVXOaj8PK2l7WJ3RER9xtqwdhxkhw/edit?usp=sharing"",""ปราจีนบุรี!J374"")"),166)</f>
        <v>166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IFERROR(__xludf.DUMMYFUNCTION("IMPORTRANGE(""https://docs.google.com/spreadsheets/d/1SX6NBoVAgQJ6U1MVXOaj8PK2l7WJ3RER9xtqwdhxkhw/edit?usp=sharing"",""ปราจีนบุรี!I375"")"),0)</f>
        <v>0</v>
      </c>
      <c r="J480" s="189">
        <f ca="1">IFERROR(__xludf.DUMMYFUNCTION("IMPORTRANGE(""https://docs.google.com/spreadsheets/d/1SX6NBoVAgQJ6U1MVXOaj8PK2l7WJ3RER9xtqwdhxkhw/edit?usp=sharing"",""ปราจีนบุรี!J375"")"),14)</f>
        <v>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IFERROR(__xludf.DUMMYFUNCTION("IMPORTRANGE(""https://docs.google.com/spreadsheets/d/1SX6NBoVAgQJ6U1MVXOaj8PK2l7WJ3RER9xtqwdhxkhw/edit?usp=sharing"",""ปราจีนบุรี!I376"")"),2314)</f>
        <v>2314</v>
      </c>
      <c r="J481" s="420">
        <f ca="1">IFERROR(__xludf.DUMMYFUNCTION("IMPORTRANGE(""https://docs.google.com/spreadsheets/d/1SX6NBoVAgQJ6U1MVXOaj8PK2l7WJ3RER9xtqwdhxkhw/edit?usp=sharing"",""ปราจีนบุรี!J376"")"),2309.79)</f>
        <v>2309.79</v>
      </c>
      <c r="K481" s="202">
        <f t="shared" ca="1" si="117"/>
        <v>99.818063958513392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IFERROR(__xludf.DUMMYFUNCTION("IMPORTRANGE(""https://docs.google.com/spreadsheets/d/1SX6NBoVAgQJ6U1MVXOaj8PK2l7WJ3RER9xtqwdhxkhw/edit?usp=sharing"",""ปราจีนบุรี!I377"")"),142)</f>
        <v>142</v>
      </c>
      <c r="J482" s="420">
        <f ca="1">IFERROR(__xludf.DUMMYFUNCTION("IMPORTRANGE(""https://docs.google.com/spreadsheets/d/1SX6NBoVAgQJ6U1MVXOaj8PK2l7WJ3RER9xtqwdhxkhw/edit?usp=sharing"",""ปราจีนบุรี!J377"")"),142)</f>
        <v>142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IFERROR(__xludf.DUMMYFUNCTION("IMPORTRANGE(""https://docs.google.com/spreadsheets/d/1SX6NBoVAgQJ6U1MVXOaj8PK2l7WJ3RER9xtqwdhxkhw/edit?usp=sharing"",""ปราจีนบุรี!I378"")"),0)</f>
        <v>0</v>
      </c>
      <c r="J483" s="189">
        <f ca="1">IFERROR(__xludf.DUMMYFUNCTION("IMPORTRANGE(""https://docs.google.com/spreadsheets/d/1SX6NBoVAgQJ6U1MVXOaj8PK2l7WJ3RER9xtqwdhxkhw/edit?usp=sharing"",""ปราจีนบุรี!J378"")"),1901.56)</f>
        <v>1901.56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IFERROR(__xludf.DUMMYFUNCTION("IMPORTRANGE(""https://docs.google.com/spreadsheets/d/1SX6NBoVAgQJ6U1MVXOaj8PK2l7WJ3RER9xtqwdhxkhw/edit?usp=sharing"",""ปราจีนบุรี!I379"")"),0)</f>
        <v>0</v>
      </c>
      <c r="J484" s="189">
        <f ca="1">IFERROR(__xludf.DUMMYFUNCTION("IMPORTRANGE(""https://docs.google.com/spreadsheets/d/1SX6NBoVAgQJ6U1MVXOaj8PK2l7WJ3RER9xtqwdhxkhw/edit?usp=sharing"",""ปราจีนบุรี!J379"")"),113)</f>
        <v>113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IFERROR(__xludf.DUMMYFUNCTION("IMPORTRANGE(""https://docs.google.com/spreadsheets/d/1SX6NBoVAgQJ6U1MVXOaj8PK2l7WJ3RER9xtqwdhxkhw/edit?usp=sharing"",""ปราจีนบุรี!I380"")"),0)</f>
        <v>0</v>
      </c>
      <c r="J485" s="189">
        <f ca="1">IFERROR(__xludf.DUMMYFUNCTION("IMPORTRANGE(""https://docs.google.com/spreadsheets/d/1SX6NBoVAgQJ6U1MVXOaj8PK2l7WJ3RER9xtqwdhxkhw/edit?usp=sharing"",""ปราจีนบุรี!J380"")"),246.53)</f>
        <v>246.53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IFERROR(__xludf.DUMMYFUNCTION("IMPORTRANGE(""https://docs.google.com/spreadsheets/d/1SX6NBoVAgQJ6U1MVXOaj8PK2l7WJ3RER9xtqwdhxkhw/edit?usp=sharing"",""ปราจีนบุรี!I381"")"),0)</f>
        <v>0</v>
      </c>
      <c r="J486" s="189">
        <f ca="1">IFERROR(__xludf.DUMMYFUNCTION("IMPORTRANGE(""https://docs.google.com/spreadsheets/d/1SX6NBoVAgQJ6U1MVXOaj8PK2l7WJ3RER9xtqwdhxkhw/edit?usp=sharing"",""ปราจีนบุรี!J381"")"),14)</f>
        <v>14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IFERROR(__xludf.DUMMYFUNCTION("IMPORTRANGE(""https://docs.google.com/spreadsheets/d/1SX6NBoVAgQJ6U1MVXOaj8PK2l7WJ3RER9xtqwdhxkhw/edit?usp=sharing"",""ปราจีนบุรี!I382"")"),0)</f>
        <v>0</v>
      </c>
      <c r="J487" s="420">
        <f ca="1">IFERROR(__xludf.DUMMYFUNCTION("IMPORTRANGE(""https://docs.google.com/spreadsheets/d/1SX6NBoVAgQJ6U1MVXOaj8PK2l7WJ3RER9xtqwdhxkhw/edit?usp=sharing"",""ปราจีนบุรี!J382"")"),161.7)</f>
        <v>161.69999999999999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IFERROR(__xludf.DUMMYFUNCTION("IMPORTRANGE(""https://docs.google.com/spreadsheets/d/1SX6NBoVAgQJ6U1MVXOaj8PK2l7WJ3RER9xtqwdhxkhw/edit?usp=sharing"",""ปราจีนบุรี!I383"")"),0)</f>
        <v>0</v>
      </c>
      <c r="J488" s="420">
        <f ca="1">IFERROR(__xludf.DUMMYFUNCTION("IMPORTRANGE(""https://docs.google.com/spreadsheets/d/1SX6NBoVAgQJ6U1MVXOaj8PK2l7WJ3RER9xtqwdhxkhw/edit?usp=sharing"",""ปราจีนบุรี!J383"")"),15)</f>
        <v>15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IFERROR(__xludf.DUMMYFUNCTION("IMPORTRANGE(""https://docs.google.com/spreadsheets/d/1SX6NBoVAgQJ6U1MVXOaj8PK2l7WJ3RER9xtqwdhxkhw/edit?usp=sharing"",""ปราจีนบุรี!I384"")"),0)</f>
        <v>0</v>
      </c>
      <c r="J489" s="189">
        <f ca="1">IFERROR(__xludf.DUMMYFUNCTION("IMPORTRANGE(""https://docs.google.com/spreadsheets/d/1SX6NBoVAgQJ6U1MVXOaj8PK2l7WJ3RER9xtqwdhxkhw/edit?usp=sharing"",""ปราจีนบุรี!J384"")"),161.7)</f>
        <v>161.69999999999999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IFERROR(__xludf.DUMMYFUNCTION("IMPORTRANGE(""https://docs.google.com/spreadsheets/d/1SX6NBoVAgQJ6U1MVXOaj8PK2l7WJ3RER9xtqwdhxkhw/edit?usp=sharing"",""ปราจีนบุรี!I385"")"),0)</f>
        <v>0</v>
      </c>
      <c r="J490" s="189">
        <f ca="1">IFERROR(__xludf.DUMMYFUNCTION("IMPORTRANGE(""https://docs.google.com/spreadsheets/d/1SX6NBoVAgQJ6U1MVXOaj8PK2l7WJ3RER9xtqwdhxkhw/edit?usp=sharing"",""ปราจีนบุรี!J385"")"),15)</f>
        <v>15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IFERROR(__xludf.DUMMYFUNCTION("IMPORTRANGE(""https://docs.google.com/spreadsheets/d/1SX6NBoVAgQJ6U1MVXOaj8PK2l7WJ3RER9xtqwdhxkhw/edit?usp=sharing"",""ปราจีนบุรี!I386"")"),0)</f>
        <v>0</v>
      </c>
      <c r="J491" s="189">
        <f ca="1">IFERROR(__xludf.DUMMYFUNCTION("IMPORTRANGE(""https://docs.google.com/spreadsheets/d/1SX6NBoVAgQJ6U1MVXOaj8PK2l7WJ3RER9xtqwdhxkhw/edit?usp=sharing"",""ปราจีนบุรี!J386"")"),0)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IFERROR(__xludf.DUMMYFUNCTION("IMPORTRANGE(""https://docs.google.com/spreadsheets/d/1SX6NBoVAgQJ6U1MVXOaj8PK2l7WJ3RER9xtqwdhxkhw/edit?usp=sharing"",""ปราจีนบุรี!I387"")"),0)</f>
        <v>0</v>
      </c>
      <c r="J492" s="189">
        <f ca="1">IFERROR(__xludf.DUMMYFUNCTION("IMPORTRANGE(""https://docs.google.com/spreadsheets/d/1SX6NBoVAgQJ6U1MVXOaj8PK2l7WJ3RER9xtqwdhxkhw/edit?usp=sharing"",""ปราจีนบุรี!J387"")"),0)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IFERROR(__xludf.DUMMYFUNCTION("IMPORTRANGE(""https://docs.google.com/spreadsheets/d/1SX6NBoVAgQJ6U1MVXOaj8PK2l7WJ3RER9xtqwdhxkhw/edit?usp=sharing"",""ปราจีนบุรี!I388"")"),0)</f>
        <v>0</v>
      </c>
      <c r="J493" s="189">
        <f ca="1">IFERROR(__xludf.DUMMYFUNCTION("IMPORTRANGE(""https://docs.google.com/spreadsheets/d/1SX6NBoVAgQJ6U1MVXOaj8PK2l7WJ3RER9xtqwdhxkhw/edit?usp=sharing"",""ปราจีนบุรี!J388"")"),0)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IFERROR(__xludf.DUMMYFUNCTION("IMPORTRANGE(""https://docs.google.com/spreadsheets/d/1SX6NBoVAgQJ6U1MVXOaj8PK2l7WJ3RER9xtqwdhxkhw/edit?usp=sharing"",""ปราจีนบุรี!I389"")"),0)</f>
        <v>0</v>
      </c>
      <c r="J494" s="436">
        <f ca="1">IFERROR(__xludf.DUMMYFUNCTION("IMPORTRANGE(""https://docs.google.com/spreadsheets/d/1SX6NBoVAgQJ6U1MVXOaj8PK2l7WJ3RER9xtqwdhxkhw/edit?usp=sharing"",""ปราจีนบุรี!J389"")"),0)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IFERROR(__xludf.DUMMYFUNCTION("IMPORTRANGE(""https://docs.google.com/spreadsheets/d/1SX6NBoVAgQJ6U1MVXOaj8PK2l7WJ3RER9xtqwdhxkhw/edit?usp=sharing"",""ปราจีนบุรี!I390"")"),0)</f>
        <v>0</v>
      </c>
      <c r="J495" s="436">
        <f ca="1">IFERROR(__xludf.DUMMYFUNCTION("IMPORTRANGE(""https://docs.google.com/spreadsheets/d/1SX6NBoVAgQJ6U1MVXOaj8PK2l7WJ3RER9xtqwdhxkhw/edit?usp=sharing"",""ปราจีนบุรี!J390"")"),0)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IFERROR(__xludf.DUMMYFUNCTION("IMPORTRANGE(""https://docs.google.com/spreadsheets/d/1SX6NBoVAgQJ6U1MVXOaj8PK2l7WJ3RER9xtqwdhxkhw/edit?usp=sharing"",""ปราจีนบุรี!I391"")"),0)</f>
        <v>0</v>
      </c>
      <c r="J496" s="436">
        <f ca="1">IFERROR(__xludf.DUMMYFUNCTION("IMPORTRANGE(""https://docs.google.com/spreadsheets/d/1SX6NBoVAgQJ6U1MVXOaj8PK2l7WJ3RER9xtqwdhxkhw/edit?usp=sharing"",""ปราจีนบุรี!J391"")"),0)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IFERROR(__xludf.DUMMYFUNCTION("IMPORTRANGE(""https://docs.google.com/spreadsheets/d/1SX6NBoVAgQJ6U1MVXOaj8PK2l7WJ3RER9xtqwdhxkhw/edit?usp=sharing"",""ปราจีนบุรี!I392"")"),20)</f>
        <v>20</v>
      </c>
      <c r="J497" s="443">
        <f ca="1">IFERROR(__xludf.DUMMYFUNCTION("IMPORTRANGE(""https://docs.google.com/spreadsheets/d/1SX6NBoVAgQJ6U1MVXOaj8PK2l7WJ3RER9xtqwdhxkhw/edit?usp=sharing"",""ปราจีนบุรี!J392"")"),0)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IFERROR(__xludf.DUMMYFUNCTION("IMPORTRANGE(""https://docs.google.com/spreadsheets/d/1SX6NBoVAgQJ6U1MVXOaj8PK2l7WJ3RER9xtqwdhxkhw/edit?usp=sharing"",""ปราจีนบุรี!I393"")"),20)</f>
        <v>20</v>
      </c>
      <c r="J498" s="420">
        <f ca="1">IFERROR(__xludf.DUMMYFUNCTION("IMPORTRANGE(""https://docs.google.com/spreadsheets/d/1SX6NBoVAgQJ6U1MVXOaj8PK2l7WJ3RER9xtqwdhxkhw/edit?usp=sharing"",""ปราจีนบุรี!J393"")"),0)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IFERROR(__xludf.DUMMYFUNCTION("IMPORTRANGE(""https://docs.google.com/spreadsheets/d/1SX6NBoVAgQJ6U1MVXOaj8PK2l7WJ3RER9xtqwdhxkhw/edit?usp=sharing"",""ปราจีนบุรี!I394"")"),1)</f>
        <v>1</v>
      </c>
      <c r="J499" s="420">
        <f ca="1">IFERROR(__xludf.DUMMYFUNCTION("IMPORTRANGE(""https://docs.google.com/spreadsheets/d/1SX6NBoVAgQJ6U1MVXOaj8PK2l7WJ3RER9xtqwdhxkhw/edit?usp=sharing"",""ปราจีนบุรี!J394"")"),0)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IFERROR(__xludf.DUMMYFUNCTION("IMPORTRANGE(""https://docs.google.com/spreadsheets/d/1SX6NBoVAgQJ6U1MVXOaj8PK2l7WJ3RER9xtqwdhxkhw/edit?usp=sharing"",""ปราจีนบุรี!I395"")"),0)</f>
        <v>0</v>
      </c>
      <c r="J500" s="162">
        <f ca="1">IFERROR(__xludf.DUMMYFUNCTION("IMPORTRANGE(""https://docs.google.com/spreadsheets/d/1SX6NBoVAgQJ6U1MVXOaj8PK2l7WJ3RER9xtqwdhxkhw/edit?usp=sharing"",""ปราจีนบุรี!J395"")"),0)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IFERROR(__xludf.DUMMYFUNCTION("IMPORTRANGE(""https://docs.google.com/spreadsheets/d/1SX6NBoVAgQJ6U1MVXOaj8PK2l7WJ3RER9xtqwdhxkhw/edit?usp=sharing"",""ปราจีนบุรี!I396"")"),0)</f>
        <v>0</v>
      </c>
      <c r="J501" s="162">
        <f ca="1">IFERROR(__xludf.DUMMYFUNCTION("IMPORTRANGE(""https://docs.google.com/spreadsheets/d/1SX6NBoVAgQJ6U1MVXOaj8PK2l7WJ3RER9xtqwdhxkhw/edit?usp=sharing"",""ปราจีนบุรี!J396"")"),0)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IFERROR(__xludf.DUMMYFUNCTION("IMPORTRANGE(""https://docs.google.com/spreadsheets/d/1SX6NBoVAgQJ6U1MVXOaj8PK2l7WJ3RER9xtqwdhxkhw/edit?usp=sharing"",""ปราจีนบุรี!I397"")"),0)</f>
        <v>0</v>
      </c>
      <c r="J502" s="189">
        <f ca="1">IFERROR(__xludf.DUMMYFUNCTION("IMPORTRANGE(""https://docs.google.com/spreadsheets/d/1SX6NBoVAgQJ6U1MVXOaj8PK2l7WJ3RER9xtqwdhxkhw/edit?usp=sharing"",""ปราจีนบุรี!J397"")"),0)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IFERROR(__xludf.DUMMYFUNCTION("IMPORTRANGE(""https://docs.google.com/spreadsheets/d/1SX6NBoVAgQJ6U1MVXOaj8PK2l7WJ3RER9xtqwdhxkhw/edit?usp=sharing"",""ปราจีนบุรี!I398"")"),0)</f>
        <v>0</v>
      </c>
      <c r="J503" s="198">
        <f ca="1">IFERROR(__xludf.DUMMYFUNCTION("IMPORTRANGE(""https://docs.google.com/spreadsheets/d/1SX6NBoVAgQJ6U1MVXOaj8PK2l7WJ3RER9xtqwdhxkhw/edit?usp=sharing"",""ปราจีนบุรี!J398"")"),0)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IFERROR(__xludf.DUMMYFUNCTION("IMPORTRANGE(""https://docs.google.com/spreadsheets/d/1SX6NBoVAgQJ6U1MVXOaj8PK2l7WJ3RER9xtqwdhxkhw/edit?usp=sharing"",""ปราจีนบุรี!I399"")"),0)</f>
        <v>0</v>
      </c>
      <c r="J504" s="189">
        <f ca="1">IFERROR(__xludf.DUMMYFUNCTION("IMPORTRANGE(""https://docs.google.com/spreadsheets/d/1SX6NBoVAgQJ6U1MVXOaj8PK2l7WJ3RER9xtqwdhxkhw/edit?usp=sharing"",""ปราจีนบุรี!J399"")"),0)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IFERROR(__xludf.DUMMYFUNCTION("IMPORTRANGE(""https://docs.google.com/spreadsheets/d/1SX6NBoVAgQJ6U1MVXOaj8PK2l7WJ3RER9xtqwdhxkhw/edit?usp=sharing"",""ปราจีนบุรี!I400"")"),0)</f>
        <v>0</v>
      </c>
      <c r="J505" s="198">
        <f ca="1">IFERROR(__xludf.DUMMYFUNCTION("IMPORTRANGE(""https://docs.google.com/spreadsheets/d/1SX6NBoVAgQJ6U1MVXOaj8PK2l7WJ3RER9xtqwdhxkhw/edit?usp=sharing"",""ปราจีนบุรี!J400"")"),0)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IFERROR(__xludf.DUMMYFUNCTION("IMPORTRANGE(""https://docs.google.com/spreadsheets/d/1SX6NBoVAgQJ6U1MVXOaj8PK2l7WJ3RER9xtqwdhxkhw/edit?usp=sharing"",""ปราจีนบุรี!I401"")"),0)</f>
        <v>0</v>
      </c>
      <c r="J506" s="189">
        <f ca="1">IFERROR(__xludf.DUMMYFUNCTION("IMPORTRANGE(""https://docs.google.com/spreadsheets/d/1SX6NBoVAgQJ6U1MVXOaj8PK2l7WJ3RER9xtqwdhxkhw/edit?usp=sharing"",""ปราจีนบุรี!J401"")"),0)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IFERROR(__xludf.DUMMYFUNCTION("IMPORTRANGE(""https://docs.google.com/spreadsheets/d/1SX6NBoVAgQJ6U1MVXOaj8PK2l7WJ3RER9xtqwdhxkhw/edit?usp=sharing"",""ปราจีนบุรี!I402"")"),0)</f>
        <v>0</v>
      </c>
      <c r="J507" s="198">
        <f ca="1">IFERROR(__xludf.DUMMYFUNCTION("IMPORTRANGE(""https://docs.google.com/spreadsheets/d/1SX6NBoVAgQJ6U1MVXOaj8PK2l7WJ3RER9xtqwdhxkhw/edit?usp=sharing"",""ปราจีนบุรี!J402"")"),0)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IFERROR(__xludf.DUMMYFUNCTION("IMPORTRANGE(""https://docs.google.com/spreadsheets/d/1SX6NBoVAgQJ6U1MVXOaj8PK2l7WJ3RER9xtqwdhxkhw/edit?usp=sharing"",""ปราจีนบุรี!I403"")"),0)</f>
        <v>0</v>
      </c>
      <c r="J508" s="162">
        <f ca="1">IFERROR(__xludf.DUMMYFUNCTION("IMPORTRANGE(""https://docs.google.com/spreadsheets/d/1SX6NBoVAgQJ6U1MVXOaj8PK2l7WJ3RER9xtqwdhxkhw/edit?usp=sharing"",""ปราจีนบุรี!J403"")"),0)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IFERROR(__xludf.DUMMYFUNCTION("IMPORTRANGE(""https://docs.google.com/spreadsheets/d/1SX6NBoVAgQJ6U1MVXOaj8PK2l7WJ3RER9xtqwdhxkhw/edit?usp=sharing"",""ปราจีนบุรี!I404"")"),0)</f>
        <v>0</v>
      </c>
      <c r="J509" s="162">
        <f ca="1">IFERROR(__xludf.DUMMYFUNCTION("IMPORTRANGE(""https://docs.google.com/spreadsheets/d/1SX6NBoVAgQJ6U1MVXOaj8PK2l7WJ3RER9xtqwdhxkhw/edit?usp=sharing"",""ปราจีนบุรี!J404"")"),0)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IFERROR(__xludf.DUMMYFUNCTION("IMPORTRANGE(""https://docs.google.com/spreadsheets/d/1SX6NBoVAgQJ6U1MVXOaj8PK2l7WJ3RER9xtqwdhxkhw/edit?usp=sharing"",""ปราจีนบุรี!I405"")"),0)</f>
        <v>0</v>
      </c>
      <c r="J510" s="198">
        <f ca="1">IFERROR(__xludf.DUMMYFUNCTION("IMPORTRANGE(""https://docs.google.com/spreadsheets/d/1SX6NBoVAgQJ6U1MVXOaj8PK2l7WJ3RER9xtqwdhxkhw/edit?usp=sharing"",""ปราจีนบุรี!J405"")"),0)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IFERROR(__xludf.DUMMYFUNCTION("IMPORTRANGE(""https://docs.google.com/spreadsheets/d/1SX6NBoVAgQJ6U1MVXOaj8PK2l7WJ3RER9xtqwdhxkhw/edit?usp=sharing"",""ปราจีนบุรี!I406"")"),0)</f>
        <v>0</v>
      </c>
      <c r="J511" s="198">
        <f ca="1">IFERROR(__xludf.DUMMYFUNCTION("IMPORTRANGE(""https://docs.google.com/spreadsheets/d/1SX6NBoVAgQJ6U1MVXOaj8PK2l7WJ3RER9xtqwdhxkhw/edit?usp=sharing"",""ปราจีนบุรี!J406"")"),0)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IFERROR(__xludf.DUMMYFUNCTION("IMPORTRANGE(""https://docs.google.com/spreadsheets/d/1SX6NBoVAgQJ6U1MVXOaj8PK2l7WJ3RER9xtqwdhxkhw/edit?usp=sharing"",""ปราจีนบุรี!I407"")"),0)</f>
        <v>0</v>
      </c>
      <c r="J512" s="198">
        <f ca="1">IFERROR(__xludf.DUMMYFUNCTION("IMPORTRANGE(""https://docs.google.com/spreadsheets/d/1SX6NBoVAgQJ6U1MVXOaj8PK2l7WJ3RER9xtqwdhxkhw/edit?usp=sharing"",""ปราจีนบุรี!J407"")"),0)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IFERROR(__xludf.DUMMYFUNCTION("IMPORTRANGE(""https://docs.google.com/spreadsheets/d/1SX6NBoVAgQJ6U1MVXOaj8PK2l7WJ3RER9xtqwdhxkhw/edit?usp=sharing"",""ปราจีนบุรี!I408"")"),0)</f>
        <v>0</v>
      </c>
      <c r="J513" s="198">
        <f ca="1">IFERROR(__xludf.DUMMYFUNCTION("IMPORTRANGE(""https://docs.google.com/spreadsheets/d/1SX6NBoVAgQJ6U1MVXOaj8PK2l7WJ3RER9xtqwdhxkhw/edit?usp=sharing"",""ปราจีนบุรี!J408"")"),0)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IFERROR(__xludf.DUMMYFUNCTION("IMPORTRANGE(""https://docs.google.com/spreadsheets/d/1SX6NBoVAgQJ6U1MVXOaj8PK2l7WJ3RER9xtqwdhxkhw/edit?usp=sharing"",""ปราจีนบุรี!I409"")"),0)</f>
        <v>0</v>
      </c>
      <c r="J514" s="198">
        <f ca="1">IFERROR(__xludf.DUMMYFUNCTION("IMPORTRANGE(""https://docs.google.com/spreadsheets/d/1SX6NBoVAgQJ6U1MVXOaj8PK2l7WJ3RER9xtqwdhxkhw/edit?usp=sharing"",""ปราจีนบุรี!J409"")"),0)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IFERROR(__xludf.DUMMYFUNCTION("IMPORTRANGE(""https://docs.google.com/spreadsheets/d/1SX6NBoVAgQJ6U1MVXOaj8PK2l7WJ3RER9xtqwdhxkhw/edit?usp=sharing"",""ปราจีนบุรี!I410"")"),0)</f>
        <v>0</v>
      </c>
      <c r="J515" s="198">
        <f ca="1">IFERROR(__xludf.DUMMYFUNCTION("IMPORTRANGE(""https://docs.google.com/spreadsheets/d/1SX6NBoVAgQJ6U1MVXOaj8PK2l7WJ3RER9xtqwdhxkhw/edit?usp=sharing"",""ปราจีนบุรี!J410"")"),0)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IFERROR(__xludf.DUMMYFUNCTION("IMPORTRANGE(""https://docs.google.com/spreadsheets/d/1SX6NBoVAgQJ6U1MVXOaj8PK2l7WJ3RER9xtqwdhxkhw/edit?usp=sharing"",""ปราจีนบุรี!I411"")"),0)</f>
        <v>0</v>
      </c>
      <c r="J516" s="267">
        <f ca="1">IFERROR(__xludf.DUMMYFUNCTION("IMPORTRANGE(""https://docs.google.com/spreadsheets/d/1SX6NBoVAgQJ6U1MVXOaj8PK2l7WJ3RER9xtqwdhxkhw/edit?usp=sharing"",""ปราจีนบุรี!J411"")"),0)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IFERROR(__xludf.DUMMYFUNCTION("IMPORTRANGE(""https://docs.google.com/spreadsheets/d/1SX6NBoVAgQJ6U1MVXOaj8PK2l7WJ3RER9xtqwdhxkhw/edit?usp=sharing"",""ปราจีนบุรี!I412"")"),0)</f>
        <v>0</v>
      </c>
      <c r="J517" s="284">
        <f ca="1">IFERROR(__xludf.DUMMYFUNCTION("IMPORTRANGE(""https://docs.google.com/spreadsheets/d/1SX6NBoVAgQJ6U1MVXOaj8PK2l7WJ3RER9xtqwdhxkhw/edit?usp=sharing"",""ปราจีนบุรี!J412"")"),0)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IFERROR(__xludf.DUMMYFUNCTION("IMPORTRANGE(""https://docs.google.com/spreadsheets/d/1SX6NBoVAgQJ6U1MVXOaj8PK2l7WJ3RER9xtqwdhxkhw/edit?usp=sharing"",""ปราจีนบุรี!I413"")"),0)</f>
        <v>0</v>
      </c>
      <c r="J518" s="284">
        <f ca="1">IFERROR(__xludf.DUMMYFUNCTION("IMPORTRANGE(""https://docs.google.com/spreadsheets/d/1SX6NBoVAgQJ6U1MVXOaj8PK2l7WJ3RER9xtqwdhxkhw/edit?usp=sharing"",""ปราจีนบุรี!J413"")"),0)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IFERROR(__xludf.DUMMYFUNCTION("IMPORTRANGE(""https://docs.google.com/spreadsheets/d/1SX6NBoVAgQJ6U1MVXOaj8PK2l7WJ3RER9xtqwdhxkhw/edit?usp=sharing"",""ปราจีนบุรี!I414"")"),0)</f>
        <v>0</v>
      </c>
      <c r="J519" s="188">
        <f ca="1">IFERROR(__xludf.DUMMYFUNCTION("IMPORTRANGE(""https://docs.google.com/spreadsheets/d/1SX6NBoVAgQJ6U1MVXOaj8PK2l7WJ3RER9xtqwdhxkhw/edit?usp=sharing"",""ปราจีนบุรี!J414"")"),0)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IFERROR(__xludf.DUMMYFUNCTION("IMPORTRANGE(""https://docs.google.com/spreadsheets/d/1SX6NBoVAgQJ6U1MVXOaj8PK2l7WJ3RER9xtqwdhxkhw/edit?usp=sharing"",""ปราจีนบุรี!I415"")"),0)</f>
        <v>0</v>
      </c>
      <c r="J520" s="188">
        <f ca="1">IFERROR(__xludf.DUMMYFUNCTION("IMPORTRANGE(""https://docs.google.com/spreadsheets/d/1SX6NBoVAgQJ6U1MVXOaj8PK2l7WJ3RER9xtqwdhxkhw/edit?usp=sharing"",""ปราจีนบุรี!J415"")"),0)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IFERROR(__xludf.DUMMYFUNCTION("IMPORTRANGE(""https://docs.google.com/spreadsheets/d/1SX6NBoVAgQJ6U1MVXOaj8PK2l7WJ3RER9xtqwdhxkhw/edit?usp=sharing"",""ปราจีนบุรี!I416"")"),0)</f>
        <v>0</v>
      </c>
      <c r="J521" s="188">
        <f ca="1">IFERROR(__xludf.DUMMYFUNCTION("IMPORTRANGE(""https://docs.google.com/spreadsheets/d/1SX6NBoVAgQJ6U1MVXOaj8PK2l7WJ3RER9xtqwdhxkhw/edit?usp=sharing"",""ปราจีนบุรี!J416"")"),0)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IFERROR(__xludf.DUMMYFUNCTION("IMPORTRANGE(""https://docs.google.com/spreadsheets/d/1SX6NBoVAgQJ6U1MVXOaj8PK2l7WJ3RER9xtqwdhxkhw/edit?usp=sharing"",""ปราจีนบุรี!I417"")"),0)</f>
        <v>0</v>
      </c>
      <c r="J522" s="188">
        <f ca="1">IFERROR(__xludf.DUMMYFUNCTION("IMPORTRANGE(""https://docs.google.com/spreadsheets/d/1SX6NBoVAgQJ6U1MVXOaj8PK2l7WJ3RER9xtqwdhxkhw/edit?usp=sharing"",""ปราจีนบุรี!J417"")"),0)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IFERROR(__xludf.DUMMYFUNCTION("IMPORTRANGE(""https://docs.google.com/spreadsheets/d/1SX6NBoVAgQJ6U1MVXOaj8PK2l7WJ3RER9xtqwdhxkhw/edit?usp=sharing"",""ปราจีนบุรี!I418"")"),0)</f>
        <v>0</v>
      </c>
      <c r="J523" s="188">
        <f ca="1">IFERROR(__xludf.DUMMYFUNCTION("IMPORTRANGE(""https://docs.google.com/spreadsheets/d/1SX6NBoVAgQJ6U1MVXOaj8PK2l7WJ3RER9xtqwdhxkhw/edit?usp=sharing"",""ปราจีนบุรี!J418"")"),0)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IFERROR(__xludf.DUMMYFUNCTION("IMPORTRANGE(""https://docs.google.com/spreadsheets/d/1SX6NBoVAgQJ6U1MVXOaj8PK2l7WJ3RER9xtqwdhxkhw/edit?usp=sharing"",""ปราจีนบุรี!I419"")"),0)</f>
        <v>0</v>
      </c>
      <c r="J524" s="188">
        <f ca="1">IFERROR(__xludf.DUMMYFUNCTION("IMPORTRANGE(""https://docs.google.com/spreadsheets/d/1SX6NBoVAgQJ6U1MVXOaj8PK2l7WJ3RER9xtqwdhxkhw/edit?usp=sharing"",""ปราจีนบุรี!J419"")"),0)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IFERROR(__xludf.DUMMYFUNCTION("IMPORTRANGE(""https://docs.google.com/spreadsheets/d/1SX6NBoVAgQJ6U1MVXOaj8PK2l7WJ3RER9xtqwdhxkhw/edit?usp=sharing"",""ปราจีนบุรี!I420"")"),0)</f>
        <v>0</v>
      </c>
      <c r="J525" s="284">
        <f ca="1">IFERROR(__xludf.DUMMYFUNCTION("IMPORTRANGE(""https://docs.google.com/spreadsheets/d/1SX6NBoVAgQJ6U1MVXOaj8PK2l7WJ3RER9xtqwdhxkhw/edit?usp=sharing"",""ปราจีนบุรี!J420"")"),0)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IFERROR(__xludf.DUMMYFUNCTION("IMPORTRANGE(""https://docs.google.com/spreadsheets/d/1SX6NBoVAgQJ6U1MVXOaj8PK2l7WJ3RER9xtqwdhxkhw/edit?usp=sharing"",""ปราจีนบุรี!I421"")"),0)</f>
        <v>0</v>
      </c>
      <c r="J526" s="284">
        <f ca="1">IFERROR(__xludf.DUMMYFUNCTION("IMPORTRANGE(""https://docs.google.com/spreadsheets/d/1SX6NBoVAgQJ6U1MVXOaj8PK2l7WJ3RER9xtqwdhxkhw/edit?usp=sharing"",""ปราจีนบุรี!J421"")"),0)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IFERROR(__xludf.DUMMYFUNCTION("IMPORTRANGE(""https://docs.google.com/spreadsheets/d/1SX6NBoVAgQJ6U1MVXOaj8PK2l7WJ3RER9xtqwdhxkhw/edit?usp=sharing"",""ปราจีนบุรี!I422"")"),0)</f>
        <v>0</v>
      </c>
      <c r="J527" s="198">
        <f ca="1">IFERROR(__xludf.DUMMYFUNCTION("IMPORTRANGE(""https://docs.google.com/spreadsheets/d/1SX6NBoVAgQJ6U1MVXOaj8PK2l7WJ3RER9xtqwdhxkhw/edit?usp=sharing"",""ปราจีนบุรี!J422"")"),0)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IFERROR(__xludf.DUMMYFUNCTION("IMPORTRANGE(""https://docs.google.com/spreadsheets/d/1SX6NBoVAgQJ6U1MVXOaj8PK2l7WJ3RER9xtqwdhxkhw/edit?usp=sharing"",""ปราจีนบุรี!I423"")"),0)</f>
        <v>0</v>
      </c>
      <c r="J528" s="198">
        <f ca="1">IFERROR(__xludf.DUMMYFUNCTION("IMPORTRANGE(""https://docs.google.com/spreadsheets/d/1SX6NBoVAgQJ6U1MVXOaj8PK2l7WJ3RER9xtqwdhxkhw/edit?usp=sharing"",""ปราจีนบุรี!J423"")"),0)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IFERROR(__xludf.DUMMYFUNCTION("IMPORTRANGE(""https://docs.google.com/spreadsheets/d/1SX6NBoVAgQJ6U1MVXOaj8PK2l7WJ3RER9xtqwdhxkhw/edit?usp=sharing"",""ปราจีนบุรี!I424"")"),0)</f>
        <v>0</v>
      </c>
      <c r="J529" s="198">
        <f ca="1">IFERROR(__xludf.DUMMYFUNCTION("IMPORTRANGE(""https://docs.google.com/spreadsheets/d/1SX6NBoVAgQJ6U1MVXOaj8PK2l7WJ3RER9xtqwdhxkhw/edit?usp=sharing"",""ปราจีนบุรี!J424"")"),0)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IFERROR(__xludf.DUMMYFUNCTION("IMPORTRANGE(""https://docs.google.com/spreadsheets/d/1SX6NBoVAgQJ6U1MVXOaj8PK2l7WJ3RER9xtqwdhxkhw/edit?usp=sharing"",""ปราจีนบุรี!I425"")"),0)</f>
        <v>0</v>
      </c>
      <c r="J530" s="198">
        <f ca="1">IFERROR(__xludf.DUMMYFUNCTION("IMPORTRANGE(""https://docs.google.com/spreadsheets/d/1SX6NBoVAgQJ6U1MVXOaj8PK2l7WJ3RER9xtqwdhxkhw/edit?usp=sharing"",""ปราจีนบุรี!J425"")"),0)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IFERROR(__xludf.DUMMYFUNCTION("IMPORTRANGE(""https://docs.google.com/spreadsheets/d/1SX6NBoVAgQJ6U1MVXOaj8PK2l7WJ3RER9xtqwdhxkhw/edit?usp=sharing"",""ปราจีนบุรี!I426"")"),0)</f>
        <v>0</v>
      </c>
      <c r="J531" s="198">
        <f ca="1">IFERROR(__xludf.DUMMYFUNCTION("IMPORTRANGE(""https://docs.google.com/spreadsheets/d/1SX6NBoVAgQJ6U1MVXOaj8PK2l7WJ3RER9xtqwdhxkhw/edit?usp=sharing"",""ปราจีนบุรี!J426"")"),0)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IFERROR(__xludf.DUMMYFUNCTION("IMPORTRANGE(""https://docs.google.com/spreadsheets/d/1SX6NBoVAgQJ6U1MVXOaj8PK2l7WJ3RER9xtqwdhxkhw/edit?usp=sharing"",""ปราจีนบุรี!I427"")"),0)</f>
        <v>0</v>
      </c>
      <c r="J532" s="466">
        <f ca="1">IFERROR(__xludf.DUMMYFUNCTION("IMPORTRANGE(""https://docs.google.com/spreadsheets/d/1SX6NBoVAgQJ6U1MVXOaj8PK2l7WJ3RER9xtqwdhxkhw/edit?usp=sharing"",""ปราจีนบุรี!J427"")"),0)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IFERROR(__xludf.DUMMYFUNCTION("IMPORTRANGE(""https://docs.google.com/spreadsheets/d/1SX6NBoVAgQJ6U1MVXOaj8PK2l7WJ3RER9xtqwdhxkhw/edit?usp=sharing"",""ปราจีนบุรี!I428"")"),22)</f>
        <v>22</v>
      </c>
      <c r="J533" s="410">
        <f ca="1">IFERROR(__xludf.DUMMYFUNCTION("IMPORTRANGE(""https://docs.google.com/spreadsheets/d/1SX6NBoVAgQJ6U1MVXOaj8PK2l7WJ3RER9xtqwdhxkhw/edit?usp=sharing"",""ปราจีนบุรี!J428"")"),22)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IFERROR(__xludf.DUMMYFUNCTION("IMPORTRANGE(""https://docs.google.com/spreadsheets/d/1SX6NBoVAgQJ6U1MVXOaj8PK2l7WJ3RER9xtqwdhxkhw/edit?usp=sharing"",""ปราจีนบุรี!L428"")"),34340)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IFERROR(__xludf.DUMMYFUNCTION("IMPORTRANGE(""https://docs.google.com/spreadsheets/d/1SX6NBoVAgQJ6U1MVXOaj8PK2l7WJ3RER9xtqwdhxkhw/edit?usp=sharing"",""ปราจีนบุรี!M428"")"),26700)</f>
        <v>26700</v>
      </c>
      <c r="O533" s="412">
        <f t="shared" ref="O533:O537" ca="1" si="118">+IF(L533&gt;0,N533*100/L533,0)</f>
        <v>77.751892836342464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IFERROR(__xludf.DUMMYFUNCTION("IMPORTRANGE(""https://docs.google.com/spreadsheets/d/1SX6NBoVAgQJ6U1MVXOaj8PK2l7WJ3RER9xtqwdhxkhw/edit?usp=sharing"",""ปราจีนบุรี!L429"")"),0)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IFERROR(__xludf.DUMMYFUNCTION("IMPORTRANGE(""https://docs.google.com/spreadsheets/d/1SX6NBoVAgQJ6U1MVXOaj8PK2l7WJ3RER9xtqwdhxkhw/edit?usp=sharing"",""ปราจีนบุรี!M429"")"),0)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IFERROR(__xludf.DUMMYFUNCTION("IMPORTRANGE(""https://docs.google.com/spreadsheets/d/1SX6NBoVAgQJ6U1MVXOaj8PK2l7WJ3RER9xtqwdhxkhw/edit?usp=sharing"",""ปราจีนบุรี!L430"")"),34340)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IFERROR(__xludf.DUMMYFUNCTION("IMPORTRANGE(""https://docs.google.com/spreadsheets/d/1SX6NBoVAgQJ6U1MVXOaj8PK2l7WJ3RER9xtqwdhxkhw/edit?usp=sharing"",""ปราจีนบุรี!M430"")"),26700)</f>
        <v>26700</v>
      </c>
      <c r="O535" s="169">
        <f t="shared" ca="1" si="118"/>
        <v>77.751892836342464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IFERROR(__xludf.DUMMYFUNCTION("IMPORTRANGE(""https://docs.google.com/spreadsheets/d/1SX6NBoVAgQJ6U1MVXOaj8PK2l7WJ3RER9xtqwdhxkhw/edit?usp=sharing"",""ปราจีนบุรี!L431"")"),0)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IFERROR(__xludf.DUMMYFUNCTION("IMPORTRANGE(""https://docs.google.com/spreadsheets/d/1SX6NBoVAgQJ6U1MVXOaj8PK2l7WJ3RER9xtqwdhxkhw/edit?usp=sharing"",""ปราจีนบุรี!M431"")"),0)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IFERROR(__xludf.DUMMYFUNCTION("IMPORTRANGE(""https://docs.google.com/spreadsheets/d/1SX6NBoVAgQJ6U1MVXOaj8PK2l7WJ3RER9xtqwdhxkhw/edit?usp=sharing"",""ปราจีนบุรี!L432"")"),34340)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IFERROR(__xludf.DUMMYFUNCTION("IMPORTRANGE(""https://docs.google.com/spreadsheets/d/1SX6NBoVAgQJ6U1MVXOaj8PK2l7WJ3RER9xtqwdhxkhw/edit?usp=sharing"",""ปราจีนบุรี!M432"")"),26700)</f>
        <v>26700</v>
      </c>
      <c r="O537" s="169">
        <f t="shared" ca="1" si="118"/>
        <v>77.751892836342464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IFERROR(__xludf.DUMMYFUNCTION("IMPORTRANGE(""https://docs.google.com/spreadsheets/d/1SX6NBoVAgQJ6U1MVXOaj8PK2l7WJ3RER9xtqwdhxkhw/edit?usp=sharing"",""ปราจีนบุรี!M433"")"),19700)</f>
        <v>19700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IFERROR(__xludf.DUMMYFUNCTION("IMPORTRANGE(""https://docs.google.com/spreadsheets/d/1SX6NBoVAgQJ6U1MVXOaj8PK2l7WJ3RER9xtqwdhxkhw/edit?usp=sharing"",""ปราจีนบุรี!M434"")"),0)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IFERROR(__xludf.DUMMYFUNCTION("IMPORTRANGE(""https://docs.google.com/spreadsheets/d/1SX6NBoVAgQJ6U1MVXOaj8PK2l7WJ3RER9xtqwdhxkhw/edit?usp=sharing"",""ปราจีนบุรี!M435"")"),0)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IFERROR(__xludf.DUMMYFUNCTION("IMPORTRANGE(""https://docs.google.com/spreadsheets/d/1SX6NBoVAgQJ6U1MVXOaj8PK2l7WJ3RER9xtqwdhxkhw/edit?usp=sharing"",""ปราจีนบุรี!M436"")"),7000)</f>
        <v>7000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89"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IFERROR(__xludf.DUMMYFUNCTION("IMPORTRANGE(""https://docs.google.com/spreadsheets/d/1SX6NBoVAgQJ6U1MVXOaj8PK2l7WJ3RER9xtqwdhxkhw/edit?usp=sharing"",""ปราจีนบุรี!J439"")"),1)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IFERROR(__xludf.DUMMYFUNCTION("IMPORTRANGE(""https://docs.google.com/spreadsheets/d/1SX6NBoVAgQJ6U1MVXOaj8PK2l7WJ3RER9xtqwdhxkhw/edit?usp=sharing"",""ปราจีนบุรี!J440"")"),1)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IFERROR(__xludf.DUMMYFUNCTION("IMPORTRANGE(""https://docs.google.com/spreadsheets/d/1SX6NBoVAgQJ6U1MVXOaj8PK2l7WJ3RER9xtqwdhxkhw/edit?usp=sharing"",""ปราจีนบุรี!J441"")"),1)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IFERROR(__xludf.DUMMYFUNCTION("IMPORTRANGE(""https://docs.google.com/spreadsheets/d/1SX6NBoVAgQJ6U1MVXOaj8PK2l7WJ3RER9xtqwdhxkhw/edit?usp=sharing"",""ปราจีนบุรี!I442"")"),22)</f>
        <v>22</v>
      </c>
      <c r="J547" s="189">
        <f ca="1">IFERROR(__xludf.DUMMYFUNCTION("IMPORTRANGE(""https://docs.google.com/spreadsheets/d/1SX6NBoVAgQJ6U1MVXOaj8PK2l7WJ3RER9xtqwdhxkhw/edit?usp=sharing"",""ปราจีนบุรี!J442"")"),22)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IFERROR(__xludf.DUMMYFUNCTION("IMPORTRANGE(""https://docs.google.com/spreadsheets/d/1SX6NBoVAgQJ6U1MVXOaj8PK2l7WJ3RER9xtqwdhxkhw/edit?usp=sharing"",""ปราจีนบุรี!J166"")"),0)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IFERROR(__xludf.DUMMYFUNCTION("IMPORTRANGE(""https://docs.google.com/spreadsheets/d/1SX6NBoVAgQJ6U1MVXOaj8PK2l7WJ3RER9xtqwdhxkhw/edit?usp=sharing"",""ปราจีนบุรี!J444"")"),0)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IFERROR(__xludf.DUMMYFUNCTION("IMPORTRANGE(""https://docs.google.com/spreadsheets/d/1SX6NBoVAgQJ6U1MVXOaj8PK2l7WJ3RER9xtqwdhxkhw/edit?usp=sharing"",""ปราจีนบุรี!J445"")"),0)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IFERROR(__xludf.DUMMYFUNCTION("IMPORTRANGE(""https://docs.google.com/spreadsheets/d/1SX6NBoVAgQJ6U1MVXOaj8PK2l7WJ3RER9xtqwdhxkhw/edit?usp=sharing"",""ปราจีนบุรี!I446"")"),0)</f>
        <v>0</v>
      </c>
      <c r="J551" s="410">
        <f ca="1">IFERROR(__xludf.DUMMYFUNCTION("IMPORTRANGE(""https://docs.google.com/spreadsheets/d/1SX6NBoVAgQJ6U1MVXOaj8PK2l7WJ3RER9xtqwdhxkhw/edit?usp=sharing"",""ปราจีนบุรี!J446"")"),0)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IFERROR(__xludf.DUMMYFUNCTION("IMPORTRANGE(""https://docs.google.com/spreadsheets/d/1SX6NBoVAgQJ6U1MVXOaj8PK2l7WJ3RER9xtqwdhxkhw/edit?usp=sharing"",""ปราจีนบุรี!L446"")"),0)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IFERROR(__xludf.DUMMYFUNCTION("IMPORTRANGE(""https://docs.google.com/spreadsheets/d/1SX6NBoVAgQJ6U1MVXOaj8PK2l7WJ3RER9xtqwdhxkhw/edit?usp=sharing"",""ปราจีนบุรี!M446"")"),0)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IFERROR(__xludf.DUMMYFUNCTION("IMPORTRANGE(""https://docs.google.com/spreadsheets/d/1SX6NBoVAgQJ6U1MVXOaj8PK2l7WJ3RER9xtqwdhxkhw/edit?usp=sharing"",""ปราจีนบุรี!L447"")"),0)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IFERROR(__xludf.DUMMYFUNCTION("IMPORTRANGE(""https://docs.google.com/spreadsheets/d/1SX6NBoVAgQJ6U1MVXOaj8PK2l7WJ3RER9xtqwdhxkhw/edit?usp=sharing"",""ปราจีนบุรี!M447"")"),0)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IFERROR(__xludf.DUMMYFUNCTION("IMPORTRANGE(""https://docs.google.com/spreadsheets/d/1SX6NBoVAgQJ6U1MVXOaj8PK2l7WJ3RER9xtqwdhxkhw/edit?usp=sharing"",""ปราจีนบุรี!L448"")"),0)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IFERROR(__xludf.DUMMYFUNCTION("IMPORTRANGE(""https://docs.google.com/spreadsheets/d/1SX6NBoVAgQJ6U1MVXOaj8PK2l7WJ3RER9xtqwdhxkhw/edit?usp=sharing"",""ปราจีนบุรี!M448"")"),0)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IFERROR(__xludf.DUMMYFUNCTION("IMPORTRANGE(""https://docs.google.com/spreadsheets/d/1SX6NBoVAgQJ6U1MVXOaj8PK2l7WJ3RER9xtqwdhxkhw/edit?usp=sharing"",""ปราจีนบุรี!L449"")"),0)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IFERROR(__xludf.DUMMYFUNCTION("IMPORTRANGE(""https://docs.google.com/spreadsheets/d/1SX6NBoVAgQJ6U1MVXOaj8PK2l7WJ3RER9xtqwdhxkhw/edit?usp=sharing"",""ปราจีนบุรี!M449"")"),0)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IFERROR(__xludf.DUMMYFUNCTION("IMPORTRANGE(""https://docs.google.com/spreadsheets/d/1SX6NBoVAgQJ6U1MVXOaj8PK2l7WJ3RER9xtqwdhxkhw/edit?usp=sharing"",""ปราจีนบุรี!L450"")"),0)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IFERROR(__xludf.DUMMYFUNCTION("IMPORTRANGE(""https://docs.google.com/spreadsheets/d/1SX6NBoVAgQJ6U1MVXOaj8PK2l7WJ3RER9xtqwdhxkhw/edit?usp=sharing"",""ปราจีนบุรี!M450"")"),0)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IFERROR(__xludf.DUMMYFUNCTION("IMPORTRANGE(""https://docs.google.com/spreadsheets/d/1SX6NBoVAgQJ6U1MVXOaj8PK2l7WJ3RER9xtqwdhxkhw/edit?usp=sharing"",""ปราจีนบุรี!M451"")"),0)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IFERROR(__xludf.DUMMYFUNCTION("IMPORTRANGE(""https://docs.google.com/spreadsheets/d/1SX6NBoVAgQJ6U1MVXOaj8PK2l7WJ3RER9xtqwdhxkhw/edit?usp=sharing"",""ปราจีนบุรี!M452"")"),0)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IFERROR(__xludf.DUMMYFUNCTION("IMPORTRANGE(""https://docs.google.com/spreadsheets/d/1SX6NBoVAgQJ6U1MVXOaj8PK2l7WJ3RER9xtqwdhxkhw/edit?usp=sharing"",""ปราจีนบุรี!M453"")"),0)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IFERROR(__xludf.DUMMYFUNCTION("IMPORTRANGE(""https://docs.google.com/spreadsheets/d/1SX6NBoVAgQJ6U1MVXOaj8PK2l7WJ3RER9xtqwdhxkhw/edit?usp=sharing"",""ปราจีนบุรี!M454"")"),0)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IFERROR(__xludf.DUMMYFUNCTION("IMPORTRANGE(""https://docs.google.com/spreadsheets/d/1SX6NBoVAgQJ6U1MVXOaj8PK2l7WJ3RER9xtqwdhxkhw/edit?usp=sharing"",""ปราจีนบุรี!I455"")"),0)</f>
        <v>0</v>
      </c>
      <c r="J560" s="162">
        <f ca="1">IFERROR(__xludf.DUMMYFUNCTION("IMPORTRANGE(""https://docs.google.com/spreadsheets/d/1SX6NBoVAgQJ6U1MVXOaj8PK2l7WJ3RER9xtqwdhxkhw/edit?usp=sharing"",""ปราจีนบุรี!J455"")"),0)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IFERROR(__xludf.DUMMYFUNCTION("IMPORTRANGE(""https://docs.google.com/spreadsheets/d/1SX6NBoVAgQJ6U1MVXOaj8PK2l7WJ3RER9xtqwdhxkhw/edit?usp=sharing"",""ปราจีนบุรี!I456"")"),0)</f>
        <v>0</v>
      </c>
      <c r="J561" s="204">
        <f ca="1">IFERROR(__xludf.DUMMYFUNCTION("IMPORTRANGE(""https://docs.google.com/spreadsheets/d/1SX6NBoVAgQJ6U1MVXOaj8PK2l7WJ3RER9xtqwdhxkhw/edit?usp=sharing"",""ปราจีนบุรี!J456"")"),0)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IFERROR(__xludf.DUMMYFUNCTION("IMPORTRANGE(""https://docs.google.com/spreadsheets/d/1SX6NBoVAgQJ6U1MVXOaj8PK2l7WJ3RER9xtqwdhxkhw/edit?usp=sharing"",""ปราจีนบุรี!I459"")"),500)</f>
        <v>500</v>
      </c>
      <c r="J564" s="371">
        <f ca="1">IFERROR(__xludf.DUMMYFUNCTION("IMPORTRANGE(""https://docs.google.com/spreadsheets/d/1SX6NBoVAgQJ6U1MVXOaj8PK2l7WJ3RER9xtqwdhxkhw/edit?usp=sharing"",""ปราจีนบุรี!J459"")"),924)</f>
        <v>924</v>
      </c>
      <c r="K564" s="372">
        <f ca="1">IF(I564&gt;0,J564*100/I564,0)</f>
        <v>184.8</v>
      </c>
      <c r="L564" s="373">
        <f ca="1">IFERROR(__xludf.DUMMYFUNCTION("IMPORTRANGE(""https://docs.google.com/spreadsheets/d/1SX6NBoVAgQJ6U1MVXOaj8PK2l7WJ3RER9xtqwdhxkhw/edit?usp=sharing"",""ปราจีนบุรี!L459"")"),128480)</f>
        <v>128480</v>
      </c>
      <c r="M564" s="373"/>
      <c r="N564" s="373">
        <f ca="1">IFERROR(__xludf.DUMMYFUNCTION("IMPORTRANGE(""https://docs.google.com/spreadsheets/d/1SX6NBoVAgQJ6U1MVXOaj8PK2l7WJ3RER9xtqwdhxkhw/edit?usp=sharing"",""ปราจีนบุรี!M459"")"),55916)</f>
        <v>55916</v>
      </c>
      <c r="O564" s="373">
        <f t="shared" ref="O564:O568" ca="1" si="122">+IF(L564&gt;0,N564*100/L564,0)</f>
        <v>43.521170610211705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IFERROR(__xludf.DUMMYFUNCTION("IMPORTRANGE(""https://docs.google.com/spreadsheets/d/1SX6NBoVAgQJ6U1MVXOaj8PK2l7WJ3RER9xtqwdhxkhw/edit?usp=sharing"",""ปราจีนบุรี!L460"")"),0)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IFERROR(__xludf.DUMMYFUNCTION("IMPORTRANGE(""https://docs.google.com/spreadsheets/d/1SX6NBoVAgQJ6U1MVXOaj8PK2l7WJ3RER9xtqwdhxkhw/edit?usp=sharing"",""ปราจีนบุรี!M460"")"),0)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IFERROR(__xludf.DUMMYFUNCTION("IMPORTRANGE(""https://docs.google.com/spreadsheets/d/1SX6NBoVAgQJ6U1MVXOaj8PK2l7WJ3RER9xtqwdhxkhw/edit?usp=sharing"",""ปราจีนบุรี!L461"")"),128480)</f>
        <v>128480</v>
      </c>
      <c r="M566" s="165"/>
      <c r="N566" s="169">
        <f ca="1">IFERROR(__xludf.DUMMYFUNCTION("IMPORTRANGE(""https://docs.google.com/spreadsheets/d/1SX6NBoVAgQJ6U1MVXOaj8PK2l7WJ3RER9xtqwdhxkhw/edit?usp=sharing"",""ปราจีนบุรี!M461"")"),55916)</f>
        <v>55916</v>
      </c>
      <c r="O566" s="169">
        <f t="shared" ca="1" si="122"/>
        <v>43.521170610211705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IFERROR(__xludf.DUMMYFUNCTION("IMPORTRANGE(""https://docs.google.com/spreadsheets/d/1SX6NBoVAgQJ6U1MVXOaj8PK2l7WJ3RER9xtqwdhxkhw/edit?usp=sharing"",""ปราจีนบุรี!L462"")"),0)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IFERROR(__xludf.DUMMYFUNCTION("IMPORTRANGE(""https://docs.google.com/spreadsheets/d/1SX6NBoVAgQJ6U1MVXOaj8PK2l7WJ3RER9xtqwdhxkhw/edit?usp=sharing"",""ปราจีนบุรี!M462"")"),0)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IFERROR(__xludf.DUMMYFUNCTION("IMPORTRANGE(""https://docs.google.com/spreadsheets/d/1SX6NBoVAgQJ6U1MVXOaj8PK2l7WJ3RER9xtqwdhxkhw/edit?usp=sharing"",""ปราจีนบุรี!L463"")"),128480)</f>
        <v>128480</v>
      </c>
      <c r="M568" s="169"/>
      <c r="N568" s="169">
        <f ca="1">IFERROR(__xludf.DUMMYFUNCTION("IMPORTRANGE(""https://docs.google.com/spreadsheets/d/1SX6NBoVAgQJ6U1MVXOaj8PK2l7WJ3RER9xtqwdhxkhw/edit?usp=sharing"",""ปราจีนบุรี!M463"")"),55916)</f>
        <v>55916</v>
      </c>
      <c r="O568" s="169">
        <f t="shared" ca="1" si="122"/>
        <v>43.521170610211705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IFERROR(__xludf.DUMMYFUNCTION("IMPORTRANGE(""https://docs.google.com/spreadsheets/d/1SX6NBoVAgQJ6U1MVXOaj8PK2l7WJ3RER9xtqwdhxkhw/edit?usp=sharing"",""ปราจีนบุรี!M464"")"),0)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IFERROR(__xludf.DUMMYFUNCTION("IMPORTRANGE(""https://docs.google.com/spreadsheets/d/1SX6NBoVAgQJ6U1MVXOaj8PK2l7WJ3RER9xtqwdhxkhw/edit?usp=sharing"",""ปราจีนบุรี!M465"")"),0)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IFERROR(__xludf.DUMMYFUNCTION("IMPORTRANGE(""https://docs.google.com/spreadsheets/d/1SX6NBoVAgQJ6U1MVXOaj8PK2l7WJ3RER9xtqwdhxkhw/edit?usp=sharing"",""ปราจีนบุรี!M466"")"),55916)</f>
        <v>55916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IFERROR(__xludf.DUMMYFUNCTION("IMPORTRANGE(""https://docs.google.com/spreadsheets/d/1SX6NBoVAgQJ6U1MVXOaj8PK2l7WJ3RER9xtqwdhxkhw/edit?usp=sharing"",""ปราจีนบุรี!M467"")"),0)</f>
        <v>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IFERROR(__xludf.DUMMYFUNCTION("IMPORTRANGE(""https://docs.google.com/spreadsheets/d/1SX6NBoVAgQJ6U1MVXOaj8PK2l7WJ3RER9xtqwdhxkhw/edit?usp=sharing"",""ปราจีนบุรี!I468"")"),500)</f>
        <v>500</v>
      </c>
      <c r="J573" s="420">
        <f ca="1">IFERROR(__xludf.DUMMYFUNCTION("IMPORTRANGE(""https://docs.google.com/spreadsheets/d/1SX6NBoVAgQJ6U1MVXOaj8PK2l7WJ3RER9xtqwdhxkhw/edit?usp=sharing"",""ปราจีนบุรี!J468"")"),924)</f>
        <v>924</v>
      </c>
      <c r="K573" s="202">
        <f ca="1">IF(I573&gt;0,J573*100/I573,0)</f>
        <v>184.8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IFERROR(__xludf.DUMMYFUNCTION("IMPORTRANGE(""https://docs.google.com/spreadsheets/d/1SX6NBoVAgQJ6U1MVXOaj8PK2l7WJ3RER9xtqwdhxkhw/edit?usp=sharing"",""ปราจีนบุรี!I470"")"),0)</f>
        <v>0</v>
      </c>
      <c r="J575" s="198">
        <f ca="1">IFERROR(__xludf.DUMMYFUNCTION("IMPORTRANGE(""https://docs.google.com/spreadsheets/d/1SX6NBoVAgQJ6U1MVXOaj8PK2l7WJ3RER9xtqwdhxkhw/edit?usp=sharing"",""ปราจีนบุรี!J470"")"),2)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IFERROR(__xludf.DUMMYFUNCTION("IMPORTRANGE(""https://docs.google.com/spreadsheets/d/1SX6NBoVAgQJ6U1MVXOaj8PK2l7WJ3RER9xtqwdhxkhw/edit?usp=sharing"",""ปราจีนบุรี!I471"")"),0)</f>
        <v>0</v>
      </c>
      <c r="J576" s="198">
        <f ca="1">IFERROR(__xludf.DUMMYFUNCTION("IMPORTRANGE(""https://docs.google.com/spreadsheets/d/1SX6NBoVAgQJ6U1MVXOaj8PK2l7WJ3RER9xtqwdhxkhw/edit?usp=sharing"",""ปราจีนบุรี!J471"")"),106)</f>
        <v>106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IFERROR(__xludf.DUMMYFUNCTION("IMPORTRANGE(""https://docs.google.com/spreadsheets/d/1SX6NBoVAgQJ6U1MVXOaj8PK2l7WJ3RER9xtqwdhxkhw/edit?usp=sharing"",""ปราจีนบุรี!I472"")"),0)</f>
        <v>0</v>
      </c>
      <c r="J577" s="189">
        <f ca="1">IFERROR(__xludf.DUMMYFUNCTION("IMPORTRANGE(""https://docs.google.com/spreadsheets/d/1SX6NBoVAgQJ6U1MVXOaj8PK2l7WJ3RER9xtqwdhxkhw/edit?usp=sharing"",""ปราจีนบุรี!J472"")"),818)</f>
        <v>818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IFERROR(__xludf.DUMMYFUNCTION("IMPORTRANGE(""https://docs.google.com/spreadsheets/d/1SX6NBoVAgQJ6U1MVXOaj8PK2l7WJ3RER9xtqwdhxkhw/edit?usp=sharing"",""ปราจีนบุรี!I473"")"),0)</f>
        <v>0</v>
      </c>
      <c r="J578" s="198">
        <f ca="1">IFERROR(__xludf.DUMMYFUNCTION("IMPORTRANGE(""https://docs.google.com/spreadsheets/d/1SX6NBoVAgQJ6U1MVXOaj8PK2l7WJ3RER9xtqwdhxkhw/edit?usp=sharing"",""ปราจีนบุรี!J473"")"),0)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IFERROR(__xludf.DUMMYFUNCTION("IMPORTRANGE(""https://docs.google.com/spreadsheets/d/1SX6NBoVAgQJ6U1MVXOaj8PK2l7WJ3RER9xtqwdhxkhw/edit?usp=sharing"",""ปราจีนบุรี!I474"")"),0)</f>
        <v>0</v>
      </c>
      <c r="J579" s="198">
        <f ca="1">IFERROR(__xludf.DUMMYFUNCTION("IMPORTRANGE(""https://docs.google.com/spreadsheets/d/1SX6NBoVAgQJ6U1MVXOaj8PK2l7WJ3RER9xtqwdhxkhw/edit?usp=sharing"",""ปราจีนบุรี!J474"")"),0)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IFERROR(__xludf.DUMMYFUNCTION("IMPORTRANGE(""https://docs.google.com/spreadsheets/d/1SX6NBoVAgQJ6U1MVXOaj8PK2l7WJ3RER9xtqwdhxkhw/edit?usp=sharing"",""ปราจีนบุรี!I475"")"),2)</f>
        <v>2</v>
      </c>
      <c r="J580" s="371">
        <f ca="1">IFERROR(__xludf.DUMMYFUNCTION("IMPORTRANGE(""https://docs.google.com/spreadsheets/d/1SX6NBoVAgQJ6U1MVXOaj8PK2l7WJ3RER9xtqwdhxkhw/edit?usp=sharing"",""ปราจีนบุรี!J475"")"),3)</f>
        <v>3</v>
      </c>
      <c r="K580" s="372">
        <f ca="1">IF(I580&gt;0,J580*100/I580,0)</f>
        <v>150</v>
      </c>
      <c r="L580" s="373">
        <f ca="1">IFERROR(__xludf.DUMMYFUNCTION("IMPORTRANGE(""https://docs.google.com/spreadsheets/d/1SX6NBoVAgQJ6U1MVXOaj8PK2l7WJ3RER9xtqwdhxkhw/edit?usp=sharing"",""ปราจีนบุรี!L475"")"),106902)</f>
        <v>106902</v>
      </c>
      <c r="M580" s="373"/>
      <c r="N580" s="373">
        <f ca="1">IFERROR(__xludf.DUMMYFUNCTION("IMPORTRANGE(""https://docs.google.com/spreadsheets/d/1SX6NBoVAgQJ6U1MVXOaj8PK2l7WJ3RER9xtqwdhxkhw/edit?usp=sharing"",""ปราจีนบุรี!M475"")"),0)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IFERROR(__xludf.DUMMYFUNCTION("IMPORTRANGE(""https://docs.google.com/spreadsheets/d/1SX6NBoVAgQJ6U1MVXOaj8PK2l7WJ3RER9xtqwdhxkhw/edit?usp=sharing"",""ปราจีนบุรี!L476"")"),0)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IFERROR(__xludf.DUMMYFUNCTION("IMPORTRANGE(""https://docs.google.com/spreadsheets/d/1SX6NBoVAgQJ6U1MVXOaj8PK2l7WJ3RER9xtqwdhxkhw/edit?usp=sharing"",""ปราจีนบุรี!M476"")"),0)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IFERROR(__xludf.DUMMYFUNCTION("IMPORTRANGE(""https://docs.google.com/spreadsheets/d/1SX6NBoVAgQJ6U1MVXOaj8PK2l7WJ3RER9xtqwdhxkhw/edit?usp=sharing"",""ปราจีนบุรี!L477"")"),106902)</f>
        <v>106902</v>
      </c>
      <c r="M582" s="165"/>
      <c r="N582" s="169">
        <f ca="1">IFERROR(__xludf.DUMMYFUNCTION("IMPORTRANGE(""https://docs.google.com/spreadsheets/d/1SX6NBoVAgQJ6U1MVXOaj8PK2l7WJ3RER9xtqwdhxkhw/edit?usp=sharing"",""ปราจีนบุรี!M477"")"),0)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IFERROR(__xludf.DUMMYFUNCTION("IMPORTRANGE(""https://docs.google.com/spreadsheets/d/1SX6NBoVAgQJ6U1MVXOaj8PK2l7WJ3RER9xtqwdhxkhw/edit?usp=sharing"",""ปราจีนบุรี!L478"")"),0)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IFERROR(__xludf.DUMMYFUNCTION("IMPORTRANGE(""https://docs.google.com/spreadsheets/d/1SX6NBoVAgQJ6U1MVXOaj8PK2l7WJ3RER9xtqwdhxkhw/edit?usp=sharing"",""ปราจีนบุรี!M478"")"),0)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IFERROR(__xludf.DUMMYFUNCTION("IMPORTRANGE(""https://docs.google.com/spreadsheets/d/1SX6NBoVAgQJ6U1MVXOaj8PK2l7WJ3RER9xtqwdhxkhw/edit?usp=sharing"",""ปราจีนบุรี!L479"")"),106902)</f>
        <v>106902</v>
      </c>
      <c r="M584" s="169"/>
      <c r="N584" s="169">
        <f ca="1">IFERROR(__xludf.DUMMYFUNCTION("IMPORTRANGE(""https://docs.google.com/spreadsheets/d/1SX6NBoVAgQJ6U1MVXOaj8PK2l7WJ3RER9xtqwdhxkhw/edit?usp=sharing"",""ปราจีนบุรี!M479"")"),0)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IFERROR(__xludf.DUMMYFUNCTION("IMPORTRANGE(""https://docs.google.com/spreadsheets/d/1SX6NBoVAgQJ6U1MVXOaj8PK2l7WJ3RER9xtqwdhxkhw/edit?usp=sharing"",""ปราจีนบุรี!M480"")"),0)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IFERROR(__xludf.DUMMYFUNCTION("IMPORTRANGE(""https://docs.google.com/spreadsheets/d/1SX6NBoVAgQJ6U1MVXOaj8PK2l7WJ3RER9xtqwdhxkhw/edit?usp=sharing"",""ปราจีนบุรี!M481"")"),0)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IFERROR(__xludf.DUMMYFUNCTION("IMPORTRANGE(""https://docs.google.com/spreadsheets/d/1SX6NBoVAgQJ6U1MVXOaj8PK2l7WJ3RER9xtqwdhxkhw/edit?usp=sharing"",""ปราจีนบุรี!M482"")"),0)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IFERROR(__xludf.DUMMYFUNCTION("IMPORTRANGE(""https://docs.google.com/spreadsheets/d/1SX6NBoVAgQJ6U1MVXOaj8PK2l7WJ3RER9xtqwdhxkhw/edit?usp=sharing"",""ปราจีนบุรี!M483"")"),0)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IFERROR(__xludf.DUMMYFUNCTION("IMPORTRANGE(""https://docs.google.com/spreadsheets/d/1SX6NBoVAgQJ6U1MVXOaj8PK2l7WJ3RER9xtqwdhxkhw/edit?usp=sharing"",""ปราจีนบุรี!I484"")"),2)</f>
        <v>2</v>
      </c>
      <c r="J589" s="188">
        <f ca="1">IFERROR(__xludf.DUMMYFUNCTION("IMPORTRANGE(""https://docs.google.com/spreadsheets/d/1SX6NBoVAgQJ6U1MVXOaj8PK2l7WJ3RER9xtqwdhxkhw/edit?usp=sharing"",""ปราจีนบุรี!J484"")"),0)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IFERROR(__xludf.DUMMYFUNCTION("IMPORTRANGE(""https://docs.google.com/spreadsheets/d/1SX6NBoVAgQJ6U1MVXOaj8PK2l7WJ3RER9xtqwdhxkhw/edit?usp=sharing"",""ปราจีนบุรี!I485"")"),0)</f>
        <v>0</v>
      </c>
      <c r="J590" s="188">
        <f ca="1">IFERROR(__xludf.DUMMYFUNCTION("IMPORTRANGE(""https://docs.google.com/spreadsheets/d/1SX6NBoVAgQJ6U1MVXOaj8PK2l7WJ3RER9xtqwdhxkhw/edit?usp=sharing"",""ปราจีนบุรี!J485"")"),0)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IFERROR(__xludf.DUMMYFUNCTION("IMPORTRANGE(""https://docs.google.com/spreadsheets/d/1SX6NBoVAgQJ6U1MVXOaj8PK2l7WJ3RER9xtqwdhxkhw/edit?usp=sharing"",""ปราจีนบุรี!I486"")"),2)</f>
        <v>2</v>
      </c>
      <c r="J591" s="188">
        <f ca="1">IFERROR(__xludf.DUMMYFUNCTION("IMPORTRANGE(""https://docs.google.com/spreadsheets/d/1SX6NBoVAgQJ6U1MVXOaj8PK2l7WJ3RER9xtqwdhxkhw/edit?usp=sharing"",""ปราจีนบุรี!J486"")"),1)</f>
        <v>1</v>
      </c>
      <c r="K591" s="163">
        <f t="shared" ca="1" si="125"/>
        <v>50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IFERROR(__xludf.DUMMYFUNCTION("IMPORTRANGE(""https://docs.google.com/spreadsheets/d/1SX6NBoVAgQJ6U1MVXOaj8PK2l7WJ3RER9xtqwdhxkhw/edit?usp=sharing"",""ปราจีนบุรี!I487"")"),0)</f>
        <v>0</v>
      </c>
      <c r="J592" s="188">
        <f ca="1">IFERROR(__xludf.DUMMYFUNCTION("IMPORTRANGE(""https://docs.google.com/spreadsheets/d/1SX6NBoVAgQJ6U1MVXOaj8PK2l7WJ3RER9xtqwdhxkhw/edit?usp=sharing"",""ปราจีนบุรี!J487"")"),7)</f>
        <v>7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IFERROR(__xludf.DUMMYFUNCTION("IMPORTRANGE(""https://docs.google.com/spreadsheets/d/1SX6NBoVAgQJ6U1MVXOaj8PK2l7WJ3RER9xtqwdhxkhw/edit?usp=sharing"",""ปราจีนบุรี!I488"")"),2)</f>
        <v>2</v>
      </c>
      <c r="J593" s="188">
        <f ca="1">IFERROR(__xludf.DUMMYFUNCTION("IMPORTRANGE(""https://docs.google.com/spreadsheets/d/1SX6NBoVAgQJ6U1MVXOaj8PK2l7WJ3RER9xtqwdhxkhw/edit?usp=sharing"",""ปราจีนบุรี!J488"")"),0)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IFERROR(__xludf.DUMMYFUNCTION("IMPORTRANGE(""https://docs.google.com/spreadsheets/d/1SX6NBoVAgQJ6U1MVXOaj8PK2l7WJ3RER9xtqwdhxkhw/edit?usp=sharing"",""ปราจีนบุรี!I489"")"),0)</f>
        <v>0</v>
      </c>
      <c r="J594" s="188">
        <f ca="1">IFERROR(__xludf.DUMMYFUNCTION("IMPORTRANGE(""https://docs.google.com/spreadsheets/d/1SX6NBoVAgQJ6U1MVXOaj8PK2l7WJ3RER9xtqwdhxkhw/edit?usp=sharing"",""ปราจีนบุรี!J489"")"),0)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IFERROR(__xludf.DUMMYFUNCTION("IMPORTRANGE(""https://docs.google.com/spreadsheets/d/1SX6NBoVAgQJ6U1MVXOaj8PK2l7WJ3RER9xtqwdhxkhw/edit?usp=sharing"",""ปราจีนบุรี!I490"")"),2)</f>
        <v>2</v>
      </c>
      <c r="J595" s="188">
        <f ca="1">IFERROR(__xludf.DUMMYFUNCTION("IMPORTRANGE(""https://docs.google.com/spreadsheets/d/1SX6NBoVAgQJ6U1MVXOaj8PK2l7WJ3RER9xtqwdhxkhw/edit?usp=sharing"",""ปราจีนบุรี!J490"")"),3)</f>
        <v>3</v>
      </c>
      <c r="K595" s="163">
        <f t="shared" ca="1" si="125"/>
        <v>150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IFERROR(__xludf.DUMMYFUNCTION("IMPORTRANGE(""https://docs.google.com/spreadsheets/d/1SX6NBoVAgQJ6U1MVXOaj8PK2l7WJ3RER9xtqwdhxkhw/edit?usp=sharing"",""ปราจีนบุรี!I491"")"),0)</f>
        <v>0</v>
      </c>
      <c r="J596" s="241">
        <f ca="1">IFERROR(__xludf.DUMMYFUNCTION("IMPORTRANGE(""https://docs.google.com/spreadsheets/d/1SX6NBoVAgQJ6U1MVXOaj8PK2l7WJ3RER9xtqwdhxkhw/edit?usp=sharing"",""ปราจีนบุรี!J491"")"),8.68)</f>
        <v>8.68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IFERROR(__xludf.DUMMYFUNCTION("IMPORTRANGE(""https://docs.google.com/spreadsheets/d/1SX6NBoVAgQJ6U1MVXOaj8PK2l7WJ3RER9xtqwdhxkhw/edit?usp=sharing"",""ปราจีนบุรี!I492"")"),50)</f>
        <v>50</v>
      </c>
      <c r="J597" s="487">
        <f ca="1">IFERROR(__xludf.DUMMYFUNCTION("IMPORTRANGE(""https://docs.google.com/spreadsheets/d/1SX6NBoVAgQJ6U1MVXOaj8PK2l7WJ3RER9xtqwdhxkhw/edit?usp=sharing"",""ปราจีนบุรี!J492"")"),0)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IFERROR(__xludf.DUMMYFUNCTION("IMPORTRANGE(""https://docs.google.com/spreadsheets/d/1SX6NBoVAgQJ6U1MVXOaj8PK2l7WJ3RER9xtqwdhxkhw/edit?usp=sharing"",""ปราจีนบุรี!L492"")"),4550)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IFERROR(__xludf.DUMMYFUNCTION("IMPORTRANGE(""https://docs.google.com/spreadsheets/d/1SX6NBoVAgQJ6U1MVXOaj8PK2l7WJ3RER9xtqwdhxkhw/edit?usp=sharing"",""ปราจีนบุรี!M492"")"),800)</f>
        <v>800</v>
      </c>
      <c r="O597" s="412">
        <f t="shared" ref="O597:O601" ca="1" si="126">+IF(L597&gt;0,N597*100/L597,0)</f>
        <v>17.582417582417584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IFERROR(__xludf.DUMMYFUNCTION("IMPORTRANGE(""https://docs.google.com/spreadsheets/d/1SX6NBoVAgQJ6U1MVXOaj8PK2l7WJ3RER9xtqwdhxkhw/edit?usp=sharing"",""ปราจีนบุรี!L493"")"),0)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IFERROR(__xludf.DUMMYFUNCTION("IMPORTRANGE(""https://docs.google.com/spreadsheets/d/1SX6NBoVAgQJ6U1MVXOaj8PK2l7WJ3RER9xtqwdhxkhw/edit?usp=sharing"",""ปราจีนบุรี!M493"")"),0)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IFERROR(__xludf.DUMMYFUNCTION("IMPORTRANGE(""https://docs.google.com/spreadsheets/d/1SX6NBoVAgQJ6U1MVXOaj8PK2l7WJ3RER9xtqwdhxkhw/edit?usp=sharing"",""ปราจีนบุรี!L494"")"),4550)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IFERROR(__xludf.DUMMYFUNCTION("IMPORTRANGE(""https://docs.google.com/spreadsheets/d/1SX6NBoVAgQJ6U1MVXOaj8PK2l7WJ3RER9xtqwdhxkhw/edit?usp=sharing"",""ปราจีนบุรี!M494"")"),800)</f>
        <v>800</v>
      </c>
      <c r="O599" s="169">
        <f t="shared" ca="1" si="126"/>
        <v>17.582417582417584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IFERROR(__xludf.DUMMYFUNCTION("IMPORTRANGE(""https://docs.google.com/spreadsheets/d/1SX6NBoVAgQJ6U1MVXOaj8PK2l7WJ3RER9xtqwdhxkhw/edit?usp=sharing"",""ปราจีนบุรี!L495"")"),0)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IFERROR(__xludf.DUMMYFUNCTION("IMPORTRANGE(""https://docs.google.com/spreadsheets/d/1SX6NBoVAgQJ6U1MVXOaj8PK2l7WJ3RER9xtqwdhxkhw/edit?usp=sharing"",""ปราจีนบุรี!M495"")"),0)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IFERROR(__xludf.DUMMYFUNCTION("IMPORTRANGE(""https://docs.google.com/spreadsheets/d/1SX6NBoVAgQJ6U1MVXOaj8PK2l7WJ3RER9xtqwdhxkhw/edit?usp=sharing"",""ปราจีนบุรี!L496"")"),4550)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IFERROR(__xludf.DUMMYFUNCTION("IMPORTRANGE(""https://docs.google.com/spreadsheets/d/1SX6NBoVAgQJ6U1MVXOaj8PK2l7WJ3RER9xtqwdhxkhw/edit?usp=sharing"",""ปราจีนบุรี!M496"")"),800)</f>
        <v>800</v>
      </c>
      <c r="O601" s="169">
        <f t="shared" ca="1" si="126"/>
        <v>17.582417582417584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IFERROR(__xludf.DUMMYFUNCTION("IMPORTRANGE(""https://docs.google.com/spreadsheets/d/1SX6NBoVAgQJ6U1MVXOaj8PK2l7WJ3RER9xtqwdhxkhw/edit?usp=sharing"",""ปราจีนบุรี!M497"")"),0)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IFERROR(__xludf.DUMMYFUNCTION("IMPORTRANGE(""https://docs.google.com/spreadsheets/d/1SX6NBoVAgQJ6U1MVXOaj8PK2l7WJ3RER9xtqwdhxkhw/edit?usp=sharing"",""ปราจีนบุรี!M498"")"),0)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IFERROR(__xludf.DUMMYFUNCTION("IMPORTRANGE(""https://docs.google.com/spreadsheets/d/1SX6NBoVAgQJ6U1MVXOaj8PK2l7WJ3RER9xtqwdhxkhw/edit?usp=sharing"",""ปราจีนบุรี!M499"")"),800)</f>
        <v>800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IFERROR(__xludf.DUMMYFUNCTION("IMPORTRANGE(""https://docs.google.com/spreadsheets/d/1SX6NBoVAgQJ6U1MVXOaj8PK2l7WJ3RER9xtqwdhxkhw/edit?usp=sharing"",""ปราจีนบุรี!M500"")"),0)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IFERROR(__xludf.DUMMYFUNCTION("IMPORTRANGE(""https://docs.google.com/spreadsheets/d/1SX6NBoVAgQJ6U1MVXOaj8PK2l7WJ3RER9xtqwdhxkhw/edit?usp=sharing"",""ปราจีนบุรี!J502"")"),1)</f>
        <v>1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IFERROR(__xludf.DUMMYFUNCTION("IMPORTRANGE(""https://docs.google.com/spreadsheets/d/1SX6NBoVAgQJ6U1MVXOaj8PK2l7WJ3RER9xtqwdhxkhw/edit?usp=sharing"",""ปราจีนบุรี!J503"")"),0)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IFERROR(__xludf.DUMMYFUNCTION("IMPORTRANGE(""https://docs.google.com/spreadsheets/d/1SX6NBoVAgQJ6U1MVXOaj8PK2l7WJ3RER9xtqwdhxkhw/edit?usp=sharing"",""ปราจีนบุรี!J166"")"),0)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IFERROR(__xludf.DUMMYFUNCTION("IMPORTRANGE(""https://docs.google.com/spreadsheets/d/1SX6NBoVAgQJ6U1MVXOaj8PK2l7WJ3RER9xtqwdhxkhw/edit?usp=sharing"",""ปราจีนบุรี!J166"")"),0)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IFERROR(__xludf.DUMMYFUNCTION("IMPORTRANGE(""https://docs.google.com/spreadsheets/d/1SX6NBoVAgQJ6U1MVXOaj8PK2l7WJ3RER9xtqwdhxkhw/edit?usp=sharing"",""ปราจีนบุรี!I506"")"),50)</f>
        <v>50</v>
      </c>
      <c r="J611" s="162">
        <f ca="1">IFERROR(__xludf.DUMMYFUNCTION("IMPORTRANGE(""https://docs.google.com/spreadsheets/d/1SX6NBoVAgQJ6U1MVXOaj8PK2l7WJ3RER9xtqwdhxkhw/edit?usp=sharing"",""ปราจีนบุรี!J506"")"),0)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IFERROR(__xludf.DUMMYFUNCTION("IMPORTRANGE(""https://docs.google.com/spreadsheets/d/1SX6NBoVAgQJ6U1MVXOaj8PK2l7WJ3RER9xtqwdhxkhw/edit?usp=sharing"",""ปราจีนบุรี!I507"")"),0)</f>
        <v>0</v>
      </c>
      <c r="J612" s="198">
        <f ca="1">IFERROR(__xludf.DUMMYFUNCTION("IMPORTRANGE(""https://docs.google.com/spreadsheets/d/1SX6NBoVAgQJ6U1MVXOaj8PK2l7WJ3RER9xtqwdhxkhw/edit?usp=sharing"",""ปราจีนบุรี!J507"")"),0)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IFERROR(__xludf.DUMMYFUNCTION("IMPORTRANGE(""https://docs.google.com/spreadsheets/d/1SX6NBoVAgQJ6U1MVXOaj8PK2l7WJ3RER9xtqwdhxkhw/edit?usp=sharing"",""ปราจีนบุรี!I508"")"),0)</f>
        <v>0</v>
      </c>
      <c r="J613" s="198">
        <f ca="1">IFERROR(__xludf.DUMMYFUNCTION("IMPORTRANGE(""https://docs.google.com/spreadsheets/d/1SX6NBoVAgQJ6U1MVXOaj8PK2l7WJ3RER9xtqwdhxkhw/edit?usp=sharing"",""ปราจีนบุรี!J508"")"),0)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IFERROR(__xludf.DUMMYFUNCTION("IMPORTRANGE(""https://docs.google.com/spreadsheets/d/1SX6NBoVAgQJ6U1MVXOaj8PK2l7WJ3RER9xtqwdhxkhw/edit?usp=sharing"",""ปราจีนบุรี!I509"")"),0)</f>
        <v>0</v>
      </c>
      <c r="J614" s="198">
        <f ca="1">IFERROR(__xludf.DUMMYFUNCTION("IMPORTRANGE(""https://docs.google.com/spreadsheets/d/1SX6NBoVAgQJ6U1MVXOaj8PK2l7WJ3RER9xtqwdhxkhw/edit?usp=sharing"",""ปราจีนบุรี!J509"")"),0)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IFERROR(__xludf.DUMMYFUNCTION("IMPORTRANGE(""https://docs.google.com/spreadsheets/d/1SX6NBoVAgQJ6U1MVXOaj8PK2l7WJ3RER9xtqwdhxkhw/edit?usp=sharing"",""ปราจีนบุรี!I510"")"),0)</f>
        <v>0</v>
      </c>
      <c r="J615" s="198">
        <f ca="1">IFERROR(__xludf.DUMMYFUNCTION("IMPORTRANGE(""https://docs.google.com/spreadsheets/d/1SX6NBoVAgQJ6U1MVXOaj8PK2l7WJ3RER9xtqwdhxkhw/edit?usp=sharing"",""ปราจีนบุรี!J510"")"),0)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IFERROR(__xludf.DUMMYFUNCTION("IMPORTRANGE(""https://docs.google.com/spreadsheets/d/1SX6NBoVAgQJ6U1MVXOaj8PK2l7WJ3RER9xtqwdhxkhw/edit?usp=sharing"",""ปราจีนบุรี!I511"")"),0)</f>
        <v>0</v>
      </c>
      <c r="J616" s="198">
        <f ca="1">IFERROR(__xludf.DUMMYFUNCTION("IMPORTRANGE(""https://docs.google.com/spreadsheets/d/1SX6NBoVAgQJ6U1MVXOaj8PK2l7WJ3RER9xtqwdhxkhw/edit?usp=sharing"",""ปราจีนบุรี!J511"")"),0)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IFERROR(__xludf.DUMMYFUNCTION("IMPORTRANGE(""https://docs.google.com/spreadsheets/d/1SX6NBoVAgQJ6U1MVXOaj8PK2l7WJ3RER9xtqwdhxkhw/edit?usp=sharing"",""ปราจีนบุรี!I512"")"),0)</f>
        <v>0</v>
      </c>
      <c r="J617" s="188">
        <f ca="1">IFERROR(__xludf.DUMMYFUNCTION("IMPORTRANGE(""https://docs.google.com/spreadsheets/d/1SX6NBoVAgQJ6U1MVXOaj8PK2l7WJ3RER9xtqwdhxkhw/edit?usp=sharing"",""ปราจีนบุรี!J512"")"),0)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IFERROR(__xludf.DUMMYFUNCTION("IMPORTRANGE(""https://docs.google.com/spreadsheets/d/1SX6NBoVAgQJ6U1MVXOaj8PK2l7WJ3RER9xtqwdhxkhw/edit?usp=sharing"",""ปราจีนบุรี!I513"")"),0)</f>
        <v>0</v>
      </c>
      <c r="J618" s="189">
        <f ca="1">IFERROR(__xludf.DUMMYFUNCTION("IMPORTRANGE(""https://docs.google.com/spreadsheets/d/1SX6NBoVAgQJ6U1MVXOaj8PK2l7WJ3RER9xtqwdhxkhw/edit?usp=sharing"",""ปราจีนบุรี!J513"")"),0)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IFERROR(__xludf.DUMMYFUNCTION("IMPORTRANGE(""https://docs.google.com/spreadsheets/d/1SX6NBoVAgQJ6U1MVXOaj8PK2l7WJ3RER9xtqwdhxkhw/edit?usp=sharing"",""ปราจีนบุรี!I514"")"),0)</f>
        <v>0</v>
      </c>
      <c r="J619" s="189">
        <f ca="1">IFERROR(__xludf.DUMMYFUNCTION("IMPORTRANGE(""https://docs.google.com/spreadsheets/d/1SX6NBoVAgQJ6U1MVXOaj8PK2l7WJ3RER9xtqwdhxkhw/edit?usp=sharing"",""ปราจีนบุรี!J514"")"),0)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IFERROR(__xludf.DUMMYFUNCTION("IMPORTRANGE(""https://docs.google.com/spreadsheets/d/1SX6NBoVAgQJ6U1MVXOaj8PK2l7WJ3RER9xtqwdhxkhw/edit?usp=sharing"",""ปราจีนบุรี!I515"")"),0)</f>
        <v>0</v>
      </c>
      <c r="J620" s="203">
        <f ca="1">IFERROR(__xludf.DUMMYFUNCTION("IMPORTRANGE(""https://docs.google.com/spreadsheets/d/1SX6NBoVAgQJ6U1MVXOaj8PK2l7WJ3RER9xtqwdhxkhw/edit?usp=sharing"",""ปราจีนบุรี!J515"")"),0)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IFERROR(__xludf.DUMMYFUNCTION("IMPORTRANGE(""https://docs.google.com/spreadsheets/d/1SX6NBoVAgQJ6U1MVXOaj8PK2l7WJ3RER9xtqwdhxkhw/edit?usp=sharing"",""ปราจีนบุรี!I516"")"),0)</f>
        <v>0</v>
      </c>
      <c r="J621" s="203">
        <f ca="1">IFERROR(__xludf.DUMMYFUNCTION("IMPORTRANGE(""https://docs.google.com/spreadsheets/d/1SX6NBoVAgQJ6U1MVXOaj8PK2l7WJ3RER9xtqwdhxkhw/edit?usp=sharing"",""ปราจีนบุรี!J516"")"),0)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IFERROR(__xludf.DUMMYFUNCTION("IMPORTRANGE(""https://docs.google.com/spreadsheets/d/1SX6NBoVAgQJ6U1MVXOaj8PK2l7WJ3RER9xtqwdhxkhw/edit?usp=sharing"",""ปราจีนบุรี!I517"")"),0)</f>
        <v>0</v>
      </c>
      <c r="J622" s="189">
        <f ca="1">IFERROR(__xludf.DUMMYFUNCTION("IMPORTRANGE(""https://docs.google.com/spreadsheets/d/1SX6NBoVAgQJ6U1MVXOaj8PK2l7WJ3RER9xtqwdhxkhw/edit?usp=sharing"",""ปราจีนบุรี!J517"")"),0)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IFERROR(__xludf.DUMMYFUNCTION("IMPORTRANGE(""https://docs.google.com/spreadsheets/d/1SX6NBoVAgQJ6U1MVXOaj8PK2l7WJ3RER9xtqwdhxkhw/edit?usp=sharing"",""ปราจีนบุรี!I518"")"),0)</f>
        <v>0</v>
      </c>
      <c r="J623" s="189">
        <f ca="1">IFERROR(__xludf.DUMMYFUNCTION("IMPORTRANGE(""https://docs.google.com/spreadsheets/d/1SX6NBoVAgQJ6U1MVXOaj8PK2l7WJ3RER9xtqwdhxkhw/edit?usp=sharing"",""ปราจีนบุรี!J518"")"),0)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IFERROR(__xludf.DUMMYFUNCTION("IMPORTRANGE(""https://docs.google.com/spreadsheets/d/1SX6NBoVAgQJ6U1MVXOaj8PK2l7WJ3RER9xtqwdhxkhw/edit?usp=sharing"",""ปราจีนบุรี!I519"")"),0)</f>
        <v>0</v>
      </c>
      <c r="J624" s="188">
        <f ca="1">IFERROR(__xludf.DUMMYFUNCTION("IMPORTRANGE(""https://docs.google.com/spreadsheets/d/1SX6NBoVAgQJ6U1MVXOaj8PK2l7WJ3RER9xtqwdhxkhw/edit?usp=sharing"",""ปราจีนบุรี!J519"")"),0)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IFERROR(__xludf.DUMMYFUNCTION("IMPORTRANGE(""https://docs.google.com/spreadsheets/d/1SX6NBoVAgQJ6U1MVXOaj8PK2l7WJ3RER9xtqwdhxkhw/edit?usp=sharing"",""ปราจีนบุรี!I520"")"),0)</f>
        <v>0</v>
      </c>
      <c r="J625" s="189">
        <f ca="1">IFERROR(__xludf.DUMMYFUNCTION("IMPORTRANGE(""https://docs.google.com/spreadsheets/d/1SX6NBoVAgQJ6U1MVXOaj8PK2l7WJ3RER9xtqwdhxkhw/edit?usp=sharing"",""ปราจีนบุรี!J520"")"),0)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IFERROR(__xludf.DUMMYFUNCTION("IMPORTRANGE(""https://docs.google.com/spreadsheets/d/1SX6NBoVAgQJ6U1MVXOaj8PK2l7WJ3RER9xtqwdhxkhw/edit?usp=sharing"",""ปราจีนบุรี!I521"")"),0)</f>
        <v>0</v>
      </c>
      <c r="J626" s="189">
        <f ca="1">IFERROR(__xludf.DUMMYFUNCTION("IMPORTRANGE(""https://docs.google.com/spreadsheets/d/1SX6NBoVAgQJ6U1MVXOaj8PK2l7WJ3RER9xtqwdhxkhw/edit?usp=sharing"",""ปราจีนบุรี!J521"")"),0)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IFERROR(__xludf.DUMMYFUNCTION("IMPORTRANGE(""https://docs.google.com/spreadsheets/d/1SX6NBoVAgQJ6U1MVXOaj8PK2l7WJ3RER9xtqwdhxkhw/edit?usp=sharing"",""ปราจีนบุรี!I523"")"),9220935.21)</f>
        <v>9220935.2100000009</v>
      </c>
      <c r="J628" s="341">
        <f ca="1">IFERROR(__xludf.DUMMYFUNCTION("IMPORTRANGE(""https://docs.google.com/spreadsheets/d/1SX6NBoVAgQJ6U1MVXOaj8PK2l7WJ3RER9xtqwdhxkhw/edit?usp=sharing"",""ปราจีนบุรี!J523"")"),1375172.6)</f>
        <v>1375172.6</v>
      </c>
      <c r="K628" s="342">
        <f t="shared" ref="K628:K635" ca="1" si="129">IF(I628&gt;0,J628*100/I628,0)</f>
        <v>14.913591394814711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IFERROR(__xludf.DUMMYFUNCTION("IMPORTRANGE(""https://docs.google.com/spreadsheets/d/1SX6NBoVAgQJ6U1MVXOaj8PK2l7WJ3RER9xtqwdhxkhw/edit?usp=sharing"",""ปราจีนบุรี!I524"")"),216)</f>
        <v>216</v>
      </c>
      <c r="J629" s="341">
        <f ca="1">IFERROR(__xludf.DUMMYFUNCTION("IMPORTRANGE(""https://docs.google.com/spreadsheets/d/1SX6NBoVAgQJ6U1MVXOaj8PK2l7WJ3RER9xtqwdhxkhw/edit?usp=sharing"",""ปราจีนบุรี!J524"")"),37)</f>
        <v>37</v>
      </c>
      <c r="K629" s="342">
        <f t="shared" ca="1" si="129"/>
        <v>17.12962962962963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IFERROR(__xludf.DUMMYFUNCTION("IMPORTRANGE(""https://docs.google.com/spreadsheets/d/1SX6NBoVAgQJ6U1MVXOaj8PK2l7WJ3RER9xtqwdhxkhw/edit?usp=sharing"",""ปราจีนบุรี!I525"")"),6752245.67)</f>
        <v>6752245.6699999999</v>
      </c>
      <c r="J630" s="341">
        <f ca="1">IFERROR(__xludf.DUMMYFUNCTION("IMPORTRANGE(""https://docs.google.com/spreadsheets/d/1SX6NBoVAgQJ6U1MVXOaj8PK2l7WJ3RER9xtqwdhxkhw/edit?usp=sharing"",""ปราจีนบุรี!J525"")"),399817.24)</f>
        <v>399817.24</v>
      </c>
      <c r="K630" s="342">
        <f t="shared" ca="1" si="129"/>
        <v>5.9212484192684895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IFERROR(__xludf.DUMMYFUNCTION("IMPORTRANGE(""https://docs.google.com/spreadsheets/d/1SX6NBoVAgQJ6U1MVXOaj8PK2l7WJ3RER9xtqwdhxkhw/edit?usp=sharing"",""ปราจีนบุรี!I526"")"),154)</f>
        <v>154</v>
      </c>
      <c r="J631" s="341">
        <f ca="1">IFERROR(__xludf.DUMMYFUNCTION("IMPORTRANGE(""https://docs.google.com/spreadsheets/d/1SX6NBoVAgQJ6U1MVXOaj8PK2l7WJ3RER9xtqwdhxkhw/edit?usp=sharing"",""ปราจีนบุรี!J526"")"),49)</f>
        <v>49</v>
      </c>
      <c r="K631" s="342">
        <f t="shared" ca="1" si="129"/>
        <v>31.818181818181817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IFERROR(__xludf.DUMMYFUNCTION("IMPORTRANGE(""https://docs.google.com/spreadsheets/d/1SX6NBoVAgQJ6U1MVXOaj8PK2l7WJ3RER9xtqwdhxkhw/edit?usp=sharing"",""ปราจีนบุรี!I527"")"),283548.59)</f>
        <v>283548.59000000003</v>
      </c>
      <c r="J632" s="341">
        <f ca="1">IFERROR(__xludf.DUMMYFUNCTION("IMPORTRANGE(""https://docs.google.com/spreadsheets/d/1SX6NBoVAgQJ6U1MVXOaj8PK2l7WJ3RER9xtqwdhxkhw/edit?usp=sharing"",""ปราจีนบุรี!J527"")"),147309.35)</f>
        <v>147309.35</v>
      </c>
      <c r="K632" s="342">
        <f t="shared" ca="1" si="129"/>
        <v>51.952065781741318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IFERROR(__xludf.DUMMYFUNCTION("IMPORTRANGE(""https://docs.google.com/spreadsheets/d/1SX6NBoVAgQJ6U1MVXOaj8PK2l7WJ3RER9xtqwdhxkhw/edit?usp=sharing"",""ปราจีนบุรี!I528"")"),136)</f>
        <v>136</v>
      </c>
      <c r="J633" s="341">
        <f ca="1">IFERROR(__xludf.DUMMYFUNCTION("IMPORTRANGE(""https://docs.google.com/spreadsheets/d/1SX6NBoVAgQJ6U1MVXOaj8PK2l7WJ3RER9xtqwdhxkhw/edit?usp=sharing"",""ปราจีนบุรี!J528"")"),23)</f>
        <v>23</v>
      </c>
      <c r="K633" s="342">
        <f t="shared" ca="1" si="129"/>
        <v>16.911764705882351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IFERROR(__xludf.DUMMYFUNCTION("IMPORTRANGE(""https://docs.google.com/spreadsheets/d/1SX6NBoVAgQJ6U1MVXOaj8PK2l7WJ3RER9xtqwdhxkhw/edit?usp=sharing"",""ปราจีนบุรี!I529"")"),4500000)</f>
        <v>4500000</v>
      </c>
      <c r="J634" s="341">
        <f ca="1">IFERROR(__xludf.DUMMYFUNCTION("IMPORTRANGE(""https://docs.google.com/spreadsheets/d/1SX6NBoVAgQJ6U1MVXOaj8PK2l7WJ3RER9xtqwdhxkhw/edit?usp=sharing"",""ปราจีนบุรี!J529"")"),1440000)</f>
        <v>1440000</v>
      </c>
      <c r="K634" s="342">
        <f t="shared" ca="1" si="129"/>
        <v>32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IFERROR(__xludf.DUMMYFUNCTION("IMPORTRANGE(""https://docs.google.com/spreadsheets/d/1SX6NBoVAgQJ6U1MVXOaj8PK2l7WJ3RER9xtqwdhxkhw/edit?usp=sharing"",""ปราจีนบุรี!I530"")"),90)</f>
        <v>90</v>
      </c>
      <c r="J635" s="504">
        <f ca="1">IFERROR(__xludf.DUMMYFUNCTION("IMPORTRANGE(""https://docs.google.com/spreadsheets/d/1SX6NBoVAgQJ6U1MVXOaj8PK2l7WJ3RER9xtqwdhxkhw/edit?usp=sharing"",""ปราจีนบุรี!J530"")"),34)</f>
        <v>34</v>
      </c>
      <c r="K635" s="486">
        <f t="shared" ca="1" si="129"/>
        <v>37.777777777777779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H560" sqref="H560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260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3070482</v>
      </c>
      <c r="M8" s="23">
        <f t="shared" ca="1" si="0"/>
        <v>1983369.28</v>
      </c>
      <c r="N8" s="23">
        <f t="shared" ca="1" si="0"/>
        <v>1621649.4400000002</v>
      </c>
      <c r="O8" s="22">
        <f t="shared" ref="O8:O16" ca="1" si="1">IF(L8&gt;0,N8*100/L8,0)</f>
        <v>52.814165332999842</v>
      </c>
      <c r="P8" s="22">
        <f t="shared" ref="P8:P16" ca="1" si="2">IF(M8&gt;0,N8*100/M8,0)</f>
        <v>81.762355419763296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3070482</v>
      </c>
      <c r="M10" s="30">
        <f t="shared" ca="1" si="4"/>
        <v>1983369.28</v>
      </c>
      <c r="N10" s="30">
        <f t="shared" ca="1" si="4"/>
        <v>1621649.4400000002</v>
      </c>
      <c r="O10" s="29">
        <f t="shared" ca="1" si="1"/>
        <v>52.814165332999842</v>
      </c>
      <c r="P10" s="29">
        <f t="shared" ca="1" si="2"/>
        <v>81.762355419763296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3017282</v>
      </c>
      <c r="M12" s="38">
        <f t="shared" ca="1" si="6"/>
        <v>1930169.28</v>
      </c>
      <c r="N12" s="38">
        <f t="shared" ca="1" si="6"/>
        <v>1568449.4400000002</v>
      </c>
      <c r="O12" s="38">
        <f t="shared" ca="1" si="1"/>
        <v>51.982195896836963</v>
      </c>
      <c r="P12" s="38">
        <f t="shared" ca="1" si="2"/>
        <v>81.259683088521655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1551000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1466282</v>
      </c>
      <c r="M14" s="38">
        <f t="shared" si="8"/>
        <v>0</v>
      </c>
      <c r="N14" s="38">
        <f t="shared" ca="1" si="8"/>
        <v>284113.8</v>
      </c>
      <c r="O14" s="38">
        <f t="shared" ca="1" si="1"/>
        <v>19.376477376111826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53200</v>
      </c>
      <c r="M16" s="38">
        <f t="shared" ca="1" si="10"/>
        <v>53200</v>
      </c>
      <c r="N16" s="38">
        <f t="shared" ca="1" si="10"/>
        <v>53200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2451635</v>
      </c>
      <c r="M18" s="23">
        <f t="shared" ca="1" si="11"/>
        <v>1983369.28</v>
      </c>
      <c r="N18" s="23">
        <f t="shared" ca="1" si="11"/>
        <v>1337535.6400000001</v>
      </c>
      <c r="O18" s="22">
        <f t="shared" ref="O18:O20" ca="1" si="12">IF(L18&gt;0,N18*100/L18,0)</f>
        <v>54.55688305967243</v>
      </c>
      <c r="P18" s="22">
        <f t="shared" ref="P18:P26" ca="1" si="13">IF(M18&gt;0,N18*100/M18,0)</f>
        <v>67.437549501623835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2451635</v>
      </c>
      <c r="M20" s="30">
        <f t="shared" ca="1" si="15"/>
        <v>1983369.28</v>
      </c>
      <c r="N20" s="30">
        <f t="shared" ca="1" si="15"/>
        <v>1337535.6400000001</v>
      </c>
      <c r="O20" s="29">
        <f t="shared" ca="1" si="12"/>
        <v>54.55688305967243</v>
      </c>
      <c r="P20" s="29">
        <f t="shared" ca="1" si="13"/>
        <v>67.437549501623835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2398435</v>
      </c>
      <c r="M22" s="41">
        <f t="shared" ca="1" si="18"/>
        <v>1930169.28</v>
      </c>
      <c r="N22" s="38">
        <f t="shared" ca="1" si="18"/>
        <v>1284335.6400000001</v>
      </c>
      <c r="O22" s="38">
        <f t="shared" ca="1" si="17"/>
        <v>53.548903347391118</v>
      </c>
      <c r="P22" s="38">
        <f t="shared" ca="1" si="13"/>
        <v>66.540051865295467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1551000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847435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53200</v>
      </c>
      <c r="M26" s="49">
        <f t="shared" ca="1" si="22"/>
        <v>53200</v>
      </c>
      <c r="N26" s="49">
        <f t="shared" ca="1" si="22"/>
        <v>53200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618847</v>
      </c>
      <c r="M28" s="23">
        <f t="shared" si="23"/>
        <v>0</v>
      </c>
      <c r="N28" s="23">
        <f t="shared" ca="1" si="23"/>
        <v>284113.8</v>
      </c>
      <c r="O28" s="22">
        <f t="shared" ref="O28:O30" ca="1" si="24">IF(L28&gt;0,N28*100/L28,0)</f>
        <v>45.910184585204419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618847</v>
      </c>
      <c r="M30" s="30">
        <f t="shared" si="27"/>
        <v>0</v>
      </c>
      <c r="N30" s="30">
        <f t="shared" ca="1" si="27"/>
        <v>284113.8</v>
      </c>
      <c r="O30" s="29">
        <f t="shared" ca="1" si="24"/>
        <v>45.910184585204419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618847</v>
      </c>
      <c r="M32" s="38">
        <f t="shared" si="30"/>
        <v>0</v>
      </c>
      <c r="N32" s="38">
        <f t="shared" ca="1" si="30"/>
        <v>284113.8</v>
      </c>
      <c r="O32" s="38">
        <f t="shared" ca="1" si="29"/>
        <v>45.910184585204419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618847</v>
      </c>
      <c r="M34" s="38">
        <f t="shared" si="32"/>
        <v>0</v>
      </c>
      <c r="N34" s="38">
        <f t="shared" ca="1" si="32"/>
        <v>284113.8</v>
      </c>
      <c r="O34" s="38">
        <f t="shared" ca="1" si="29"/>
        <v>45.910184585204419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2451635</v>
      </c>
      <c r="M37" s="54">
        <f t="shared" ca="1" si="33"/>
        <v>1983369.28</v>
      </c>
      <c r="N37" s="54">
        <f t="shared" ca="1" si="33"/>
        <v>1337535.6400000001</v>
      </c>
      <c r="O37" s="55">
        <f t="shared" ca="1" si="29"/>
        <v>54.55688305967243</v>
      </c>
      <c r="P37" s="55">
        <f t="shared" ca="1" si="25"/>
        <v>67.437549501623835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353800</v>
      </c>
      <c r="M41" s="78">
        <f t="shared" ca="1" si="34"/>
        <v>265400</v>
      </c>
      <c r="N41" s="78">
        <f t="shared" ca="1" si="34"/>
        <v>171730.5</v>
      </c>
      <c r="O41" s="77">
        <f t="shared" ref="O41:O43" ca="1" si="35">IF(L41&gt;0,N41*100/L41,0)</f>
        <v>48.538863764838894</v>
      </c>
      <c r="P41" s="77">
        <f t="shared" ref="P41:P43" ca="1" si="36">IF(M41&gt;0,N41*100/M41,0)</f>
        <v>64.706292388847018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353800</v>
      </c>
      <c r="M43" s="78">
        <f t="shared" ca="1" si="38"/>
        <v>265400</v>
      </c>
      <c r="N43" s="78">
        <f t="shared" ca="1" si="38"/>
        <v>171730.5</v>
      </c>
      <c r="O43" s="77">
        <f t="shared" ca="1" si="35"/>
        <v>48.538863764838894</v>
      </c>
      <c r="P43" s="77">
        <f t="shared" ca="1" si="36"/>
        <v>64.706292388847018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353800</v>
      </c>
      <c r="M45" s="49">
        <f ca="1">IFERROR(__xludf.DUMMYFUNCTION("IMPORTRANGE(""https://docs.google.com/spreadsheets/d/1Yj_ptqi66GCucihVvJfMjLAmec39IyEx_6qawtMGysU/edit?usp=sharing"",""สบก!Q70"")"),265400)</f>
        <v>265400</v>
      </c>
      <c r="N45" s="49">
        <f ca="1">IFERROR(__xludf.DUMMYFUNCTION("IMPORTRANGE(""https://docs.google.com/spreadsheets/d/1Yj_ptqi66GCucihVvJfMjLAmec39IyEx_6qawtMGysU/edit?usp=sharing"",""สบก!R70"")"),171730.5)</f>
        <v>171730.5</v>
      </c>
      <c r="O45" s="38">
        <f ca="1">IF(L45&gt;0,N45*100/L45,0)</f>
        <v>48.538863764838894</v>
      </c>
      <c r="P45" s="38">
        <f ca="1">IF(M45&gt;0,N45*100/M45,0)</f>
        <v>64.706292388847018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IFERROR(__xludf.DUMMYFUNCTION("IMPORTRANGE(""https://docs.google.com/spreadsheets/d/1Yj_ptqi66GCucihVvJfMjLAmec39IyEx_6qawtMGysU/edit?usp=sharing"",""สบก!M70"")"),353800)</f>
        <v>353800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IFERROR(__xludf.DUMMYFUNCTION("IMPORTRANGE(""https://docs.google.com/spreadsheets/d/1Yj_ptqi66GCucihVvJfMjLAmec39IyEx_6qawtMGysU/edit?usp=sharing"",""สบก!O70"")"),0)</f>
        <v>0</v>
      </c>
      <c r="M49" s="49"/>
      <c r="N49" s="49">
        <f ca="1">IFERROR(__xludf.DUMMYFUNCTION("IMPORTRANGE(""https://docs.google.com/spreadsheets/d/1Yj_ptqi66GCucihVvJfMjLAmec39IyEx_6qawtMGysU/edit?usp=sharing"",""สบก!S70"")"),0)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310000</v>
      </c>
      <c r="M53" s="121">
        <f t="shared" ca="1" si="39"/>
        <v>247259.28</v>
      </c>
      <c r="N53" s="121">
        <f t="shared" ca="1" si="39"/>
        <v>165109</v>
      </c>
      <c r="O53" s="120">
        <f t="shared" ref="O53:O55" ca="1" si="40">IF(L53&gt;0,N53*100/L53,0)</f>
        <v>53.260967741935481</v>
      </c>
      <c r="P53" s="120">
        <f t="shared" ref="P53:P55" ca="1" si="41">IF(M53&gt;0,N53*100/M53,0)</f>
        <v>66.775653475978743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310000</v>
      </c>
      <c r="M55" s="121">
        <f t="shared" ca="1" si="43"/>
        <v>247259.28</v>
      </c>
      <c r="N55" s="121">
        <f t="shared" ca="1" si="43"/>
        <v>165109</v>
      </c>
      <c r="O55" s="120">
        <f t="shared" ca="1" si="40"/>
        <v>53.260967741935481</v>
      </c>
      <c r="P55" s="120">
        <f t="shared" ca="1" si="41"/>
        <v>66.775653475978743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310000</v>
      </c>
      <c r="M57" s="49">
        <f ca="1">IFERROR(__xludf.DUMMYFUNCTION("IMPORTRANGE(""https://docs.google.com/spreadsheets/d/1Yj_ptqi66GCucihVvJfMjLAmec39IyEx_6qawtMGysU/edit?usp=sharing"",""สบก!Z70"")"),247259.28)</f>
        <v>247259.28</v>
      </c>
      <c r="N57" s="49">
        <f ca="1">IFERROR(__xludf.DUMMYFUNCTION("IMPORTRANGE(""https://docs.google.com/spreadsheets/d/1Yj_ptqi66GCucihVvJfMjLAmec39IyEx_6qawtMGysU/edit?usp=sharing"",""สบก!AA70"")"),165109)</f>
        <v>165109</v>
      </c>
      <c r="O57" s="38">
        <f ca="1">IF(L57&gt;0,N57*100/L57,0)</f>
        <v>53.260967741935481</v>
      </c>
      <c r="P57" s="38">
        <f ca="1">IF(M57&gt;0,N57*100/M57,0)</f>
        <v>66.775653475978743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IFERROR(__xludf.DUMMYFUNCTION("IMPORTRANGE(""https://docs.google.com/spreadsheets/d/1Yj_ptqi66GCucihVvJfMjLAmec39IyEx_6qawtMGysU/edit?usp=sharing"",""สบก!V70"")"),310000)</f>
        <v>310000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IFERROR(__xludf.DUMMYFUNCTION("IMPORTRANGE(""https://docs.google.com/spreadsheets/d/1Yj_ptqi66GCucihVvJfMjLAmec39IyEx_6qawtMGysU/edit?usp=sharing"",""สบก!X70"")"),0)</f>
        <v>0</v>
      </c>
      <c r="M61" s="49"/>
      <c r="N61" s="49">
        <f ca="1">IFERROR(__xludf.DUMMYFUNCTION("IMPORTRANGE(""https://docs.google.com/spreadsheets/d/1Yj_ptqi66GCucihVvJfMjLAmec39IyEx_6qawtMGysU/edit?usp=sharing"",""สบก!AB70"")"),0)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IFERROR(__xludf.DUMMYFUNCTION("IMPORTRANGE(""https://docs.google.com/spreadsheets/d/1SX6NBoVAgQJ6U1MVXOaj8PK2l7WJ3RER9xtqwdhxkhw/edit?usp=sharing"",""พระนครศรีอยุธยา!I9"")"),1)</f>
        <v>1</v>
      </c>
      <c r="J64" s="142">
        <f ca="1">IFERROR(__xludf.DUMMYFUNCTION("IMPORTRANGE(""https://docs.google.com/spreadsheets/d/1SX6NBoVAgQJ6U1MVXOaj8PK2l7WJ3RER9xtqwdhxkhw/edit?usp=sharing"",""พระนครศรีอยุธยา!J9"")"),1)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IFERROR(__xludf.DUMMYFUNCTION("IMPORTRANGE(""https://docs.google.com/spreadsheets/d/1SX6NBoVAgQJ6U1MVXOaj8PK2l7WJ3RER9xtqwdhxkhw/edit?usp=sharing"",""พระนครศรีอยุธยา!I10"")"),30)</f>
        <v>30</v>
      </c>
      <c r="J65" s="142">
        <f ca="1">IFERROR(__xludf.DUMMYFUNCTION("IMPORTRANGE(""https://docs.google.com/spreadsheets/d/1SX6NBoVAgQJ6U1MVXOaj8PK2l7WJ3RER9xtqwdhxkhw/edit?usp=sharing"",""พระนครศรีอยุธยา!J10"")"),30)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557200</v>
      </c>
      <c r="M66" s="152">
        <f t="shared" ca="1" si="45"/>
        <v>448520</v>
      </c>
      <c r="N66" s="152">
        <f t="shared" ca="1" si="45"/>
        <v>302595.3</v>
      </c>
      <c r="O66" s="151">
        <f t="shared" ref="O66:O68" ca="1" si="46">IF(L66&gt;0,N66*100/L66,0)</f>
        <v>54.30640703517588</v>
      </c>
      <c r="P66" s="151">
        <f t="shared" ref="P66:P68" ca="1" si="47">IF(M66&gt;0,N66*100/M66,0)</f>
        <v>67.465285828948538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557200</v>
      </c>
      <c r="M68" s="157">
        <f t="shared" ca="1" si="49"/>
        <v>448520</v>
      </c>
      <c r="N68" s="157">
        <f t="shared" ca="1" si="49"/>
        <v>302595.3</v>
      </c>
      <c r="O68" s="156">
        <f t="shared" ca="1" si="46"/>
        <v>54.30640703517588</v>
      </c>
      <c r="P68" s="156">
        <f t="shared" ca="1" si="47"/>
        <v>67.465285828948538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557200</v>
      </c>
      <c r="M70" s="168">
        <f ca="1">IFERROR(__xludf.DUMMYFUNCTION("IMPORTRANGE(""https://docs.google.com/spreadsheets/d/1Yj_ptqi66GCucihVvJfMjLAmec39IyEx_6qawtMGysU/edit?usp=sharing"",""สบก!AI70"")"),448520)</f>
        <v>448520</v>
      </c>
      <c r="N70" s="169">
        <f ca="1">IFERROR(__xludf.DUMMYFUNCTION("IMPORTRANGE(""https://docs.google.com/spreadsheets/d/1Yj_ptqi66GCucihVvJfMjLAmec39IyEx_6qawtMGysU/edit?usp=sharing"",""สบก!AJ70"")"),302595.3)</f>
        <v>302595.3</v>
      </c>
      <c r="O70" s="169">
        <f ca="1">IF(L70&gt;0,N70*100/L70,0)</f>
        <v>54.30640703517588</v>
      </c>
      <c r="P70" s="169">
        <f ca="1">IF(M70&gt;0,N70*100/M70,0)</f>
        <v>67.465285828948538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IFERROR(__xludf.DUMMYFUNCTION("IMPORTRANGE(""https://docs.google.com/spreadsheets/d/1Yj_ptqi66GCucihVvJfMjLAmec39IyEx_6qawtMGysU/edit?usp=sharing"",""สบก!AE70"")"),185200)</f>
        <v>185200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IFERROR(__xludf.DUMMYFUNCTION("IMPORTRANGE(""https://docs.google.com/spreadsheets/d/1Yj_ptqi66GCucihVvJfMjLAmec39IyEx_6qawtMGysU/edit?usp=sharing"",""สบก!AF70"")"),372000)</f>
        <v>372000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IFERROR(__xludf.DUMMYFUNCTION("IMPORTRANGE(""https://docs.google.com/spreadsheets/d/1Yj_ptqi66GCucihVvJfMjLAmec39IyEx_6qawtMGysU/edit?usp=sharing"",""สบก!AG70"")"),0)</f>
        <v>0</v>
      </c>
      <c r="M74" s="49"/>
      <c r="N74" s="49">
        <f ca="1">IFERROR(__xludf.DUMMYFUNCTION("IMPORTRANGE(""https://docs.google.com/spreadsheets/d/1Yj_ptqi66GCucihVvJfMjLAmec39IyEx_6qawtMGysU/edit?usp=sharing"",""สบก!AK70"")"),0)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IFERROR(__xludf.DUMMYFUNCTION("IMPORTRANGE(""https://docs.google.com/spreadsheets/d/1SX6NBoVAgQJ6U1MVXOaj8PK2l7WJ3RER9xtqwdhxkhw/edit?usp=sharing"",""พระนครศรีอยุธยา!J16"")"),0)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IFERROR(__xludf.DUMMYFUNCTION("IMPORTRANGE(""https://docs.google.com/spreadsheets/d/1SX6NBoVAgQJ6U1MVXOaj8PK2l7WJ3RER9xtqwdhxkhw/edit?usp=sharing"",""พระนครศรีอยุธยา!J17"")"),1)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IFERROR(__xludf.DUMMYFUNCTION("IMPORTRANGE(""https://docs.google.com/spreadsheets/d/1SX6NBoVAgQJ6U1MVXOaj8PK2l7WJ3RER9xtqwdhxkhw/edit?usp=sharing"",""พระนครศรีอยุธยา!J18"")"),1)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IFERROR(__xludf.DUMMYFUNCTION("IMPORTRANGE(""https://docs.google.com/spreadsheets/d/1SX6NBoVAgQJ6U1MVXOaj8PK2l7WJ3RER9xtqwdhxkhw/edit?usp=sharing"",""พระนครศรีอยุธยา!J19"")"),1)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IFERROR(__xludf.DUMMYFUNCTION("IMPORTRANGE(""https://docs.google.com/spreadsheets/d/1SX6NBoVAgQJ6U1MVXOaj8PK2l7WJ3RER9xtqwdhxkhw/edit?usp=sharing"",""พระนครศรีอยุธยา!I20"")"),1)</f>
        <v>1</v>
      </c>
      <c r="J80" s="201">
        <f ca="1">IFERROR(__xludf.DUMMYFUNCTION("IMPORTRANGE(""https://docs.google.com/spreadsheets/d/1SX6NBoVAgQJ6U1MVXOaj8PK2l7WJ3RER9xtqwdhxkhw/edit?usp=sharing"",""พระนครศรีอยุธยา!J20"")"),1)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IFERROR(__xludf.DUMMYFUNCTION("IMPORTRANGE(""https://docs.google.com/spreadsheets/d/1SX6NBoVAgQJ6U1MVXOaj8PK2l7WJ3RER9xtqwdhxkhw/edit?usp=sharing"",""พระนครศรีอยุธยา!I21"")"),30)</f>
        <v>30</v>
      </c>
      <c r="J81" s="201">
        <f ca="1">IFERROR(__xludf.DUMMYFUNCTION("IMPORTRANGE(""https://docs.google.com/spreadsheets/d/1SX6NBoVAgQJ6U1MVXOaj8PK2l7WJ3RER9xtqwdhxkhw/edit?usp=sharing"",""พระนครศรีอยุธยา!J21"")"),30)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IFERROR(__xludf.DUMMYFUNCTION("IMPORTRANGE(""https://docs.google.com/spreadsheets/d/1SX6NBoVAgQJ6U1MVXOaj8PK2l7WJ3RER9xtqwdhxkhw/edit?usp=sharing"",""พระนครศรีอยุธยา!I22"")"),0)</f>
        <v>0</v>
      </c>
      <c r="J82" s="204">
        <f ca="1">IFERROR(__xludf.DUMMYFUNCTION("IMPORTRANGE(""https://docs.google.com/spreadsheets/d/1SX6NBoVAgQJ6U1MVXOaj8PK2l7WJ3RER9xtqwdhxkhw/edit?usp=sharing"",""พระนครศรีอยุธยา!J22"")"),0)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IFERROR(__xludf.DUMMYFUNCTION("IMPORTRANGE(""https://docs.google.com/spreadsheets/d/1SX6NBoVAgQJ6U1MVXOaj8PK2l7WJ3RER9xtqwdhxkhw/edit?usp=sharing"",""พระนครศรีอยุธยา!I23"")"),0)</f>
        <v>0</v>
      </c>
      <c r="J83" s="204">
        <f ca="1">IFERROR(__xludf.DUMMYFUNCTION("IMPORTRANGE(""https://docs.google.com/spreadsheets/d/1SX6NBoVAgQJ6U1MVXOaj8PK2l7WJ3RER9xtqwdhxkhw/edit?usp=sharing"",""พระนครศรีอยุธยา!J23"")"),0)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IFERROR(__xludf.DUMMYFUNCTION("IMPORTRANGE(""https://docs.google.com/spreadsheets/d/1SX6NBoVAgQJ6U1MVXOaj8PK2l7WJ3RER9xtqwdhxkhw/edit?usp=sharing"",""พระนครศรีอยุธยา!I24"")"),0)</f>
        <v>0</v>
      </c>
      <c r="J84" s="189">
        <f ca="1">IFERROR(__xludf.DUMMYFUNCTION("IMPORTRANGE(""https://docs.google.com/spreadsheets/d/1SX6NBoVAgQJ6U1MVXOaj8PK2l7WJ3RER9xtqwdhxkhw/edit?usp=sharing"",""พระนครศรีอยุธยา!J24"")"),0)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IFERROR(__xludf.DUMMYFUNCTION("IMPORTRANGE(""https://docs.google.com/spreadsheets/d/1SX6NBoVAgQJ6U1MVXOaj8PK2l7WJ3RER9xtqwdhxkhw/edit?usp=sharing"",""พระนครศรีอยุธยา!I25"")"),0)</f>
        <v>0</v>
      </c>
      <c r="J85" s="189">
        <f ca="1">IFERROR(__xludf.DUMMYFUNCTION("IMPORTRANGE(""https://docs.google.com/spreadsheets/d/1SX6NBoVAgQJ6U1MVXOaj8PK2l7WJ3RER9xtqwdhxkhw/edit?usp=sharing"",""พระนครศรีอยุธยา!J25"")"),0)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IFERROR(__xludf.DUMMYFUNCTION("IMPORTRANGE(""https://docs.google.com/spreadsheets/d/1SX6NBoVAgQJ6U1MVXOaj8PK2l7WJ3RER9xtqwdhxkhw/edit?usp=sharing"",""พระนครศรีอยุธยา!I26"")"),1)</f>
        <v>1</v>
      </c>
      <c r="J86" s="204">
        <f ca="1">IFERROR(__xludf.DUMMYFUNCTION("IMPORTRANGE(""https://docs.google.com/spreadsheets/d/1SX6NBoVAgQJ6U1MVXOaj8PK2l7WJ3RER9xtqwdhxkhw/edit?usp=sharing"",""พระนครศรีอยุธยา!J26"")"),1)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IFERROR(__xludf.DUMMYFUNCTION("IMPORTRANGE(""https://docs.google.com/spreadsheets/d/1SX6NBoVAgQJ6U1MVXOaj8PK2l7WJ3RER9xtqwdhxkhw/edit?usp=sharing"",""พระนครศรีอยุธยา!I27"")"),30)</f>
        <v>30</v>
      </c>
      <c r="J87" s="204">
        <f ca="1">IFERROR(__xludf.DUMMYFUNCTION("IMPORTRANGE(""https://docs.google.com/spreadsheets/d/1SX6NBoVAgQJ6U1MVXOaj8PK2l7WJ3RER9xtqwdhxkhw/edit?usp=sharing"",""พระนครศรีอยุธยา!J27"")"),30)</f>
        <v>30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IFERROR(__xludf.DUMMYFUNCTION("IMPORTRANGE(""https://docs.google.com/spreadsheets/d/1SX6NBoVAgQJ6U1MVXOaj8PK2l7WJ3RER9xtqwdhxkhw/edit?usp=sharing"",""พระนครศรีอยุธยา!I28"")"),0)</f>
        <v>0</v>
      </c>
      <c r="J88" s="204">
        <f ca="1">IFERROR(__xludf.DUMMYFUNCTION("IMPORTRANGE(""https://docs.google.com/spreadsheets/d/1SX6NBoVAgQJ6U1MVXOaj8PK2l7WJ3RER9xtqwdhxkhw/edit?usp=sharing"",""พระนครศรีอยุธยา!J28"")"),0)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IFERROR(__xludf.DUMMYFUNCTION("IMPORTRANGE(""https://docs.google.com/spreadsheets/d/1SX6NBoVAgQJ6U1MVXOaj8PK2l7WJ3RER9xtqwdhxkhw/edit?usp=sharing"",""พระนครศรีอยุธยา!J29"")"),0)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IFERROR(__xludf.DUMMYFUNCTION("IMPORTRANGE(""https://docs.google.com/spreadsheets/d/1SX6NBoVAgQJ6U1MVXOaj8PK2l7WJ3RER9xtqwdhxkhw/edit?usp=sharing"",""พระนครศรีอยุธยา!J30"")"),0)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IFERROR(__xludf.DUMMYFUNCTION("IMPORTRANGE(""https://docs.google.com/spreadsheets/d/1SX6NBoVAgQJ6U1MVXOaj8PK2l7WJ3RER9xtqwdhxkhw/edit?usp=sharing"",""พระนครศรีอยุธยา!I32"")"),0)</f>
        <v>0</v>
      </c>
      <c r="J92" s="142">
        <f ca="1">IFERROR(__xludf.DUMMYFUNCTION("IMPORTRANGE(""https://docs.google.com/spreadsheets/d/1SX6NBoVAgQJ6U1MVXOaj8PK2l7WJ3RER9xtqwdhxkhw/edit?usp=sharing"",""พระนครศรีอยุธยา!J32"")"),0)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IFERROR(__xludf.DUMMYFUNCTION("IMPORTRANGE(""https://docs.google.com/spreadsheets/d/1SX6NBoVAgQJ6U1MVXOaj8PK2l7WJ3RER9xtqwdhxkhw/edit?usp=sharing"",""พระนครศรีอยุธยา!I33"")"),0)</f>
        <v>0</v>
      </c>
      <c r="J93" s="142">
        <f ca="1">IFERROR(__xludf.DUMMYFUNCTION("IMPORTRANGE(""https://docs.google.com/spreadsheets/d/1SX6NBoVAgQJ6U1MVXOaj8PK2l7WJ3RER9xtqwdhxkhw/edit?usp=sharing"",""พระนครศรีอยุธยา!J33"")"),0)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IFERROR(__xludf.DUMMYFUNCTION("IMPORTRANGE(""https://docs.google.com/spreadsheets/d/1Yj_ptqi66GCucihVvJfMjLAmec39IyEx_6qawtMGysU/edit?usp=sharing"",""สบก!AR70"")"),0)</f>
        <v>0</v>
      </c>
      <c r="N98" s="169">
        <f ca="1">IFERROR(__xludf.DUMMYFUNCTION("IMPORTRANGE(""https://docs.google.com/spreadsheets/d/1Yj_ptqi66GCucihVvJfMjLAmec39IyEx_6qawtMGysU/edit?usp=sharing"",""สบก!AS70"")"),0)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IFERROR(__xludf.DUMMYFUNCTION("IMPORTRANGE(""https://docs.google.com/spreadsheets/d/1Yj_ptqi66GCucihVvJfMjLAmec39IyEx_6qawtMGysU/edit?usp=sharing"",""สบก!AN70"")"),0)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IFERROR(__xludf.DUMMYFUNCTION("IMPORTRANGE(""https://docs.google.com/spreadsheets/d/1Yj_ptqi66GCucihVvJfMjLAmec39IyEx_6qawtMGysU/edit?usp=sharing"",""สบก!AO70"")"),0)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IFERROR(__xludf.DUMMYFUNCTION("IMPORTRANGE(""https://docs.google.com/spreadsheets/d/1Yj_ptqi66GCucihVvJfMjLAmec39IyEx_6qawtMGysU/edit?usp=sharing"",""สบก!AP70"")"),0)</f>
        <v>0</v>
      </c>
      <c r="M102" s="49"/>
      <c r="N102" s="49">
        <f ca="1">IFERROR(__xludf.DUMMYFUNCTION("IMPORTRANGE(""https://docs.google.com/spreadsheets/d/1Yj_ptqi66GCucihVvJfMjLAmec39IyEx_6qawtMGysU/edit?usp=sharing"",""สบก!AT70"")"),0)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IFERROR(__xludf.DUMMYFUNCTION("IMPORTRANGE(""https://docs.google.com/spreadsheets/d/1SX6NBoVAgQJ6U1MVXOaj8PK2l7WJ3RER9xtqwdhxkhw/edit?usp=sharing"",""พระนครศรีอยุธยา!J39"")"),0)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IFERROR(__xludf.DUMMYFUNCTION("IMPORTRANGE(""https://docs.google.com/spreadsheets/d/1SX6NBoVAgQJ6U1MVXOaj8PK2l7WJ3RER9xtqwdhxkhw/edit?usp=sharing"",""พระนครศรีอยุธยา!J40"")"),0)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IFERROR(__xludf.DUMMYFUNCTION("IMPORTRANGE(""https://docs.google.com/spreadsheets/d/1SX6NBoVAgQJ6U1MVXOaj8PK2l7WJ3RER9xtqwdhxkhw/edit?usp=sharing"",""พระนครศรีอยุธยา!J41"")"),0)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IFERROR(__xludf.DUMMYFUNCTION("IMPORTRANGE(""https://docs.google.com/spreadsheets/d/1SX6NBoVAgQJ6U1MVXOaj8PK2l7WJ3RER9xtqwdhxkhw/edit?usp=sharing"",""พระนครศรีอยุธยา!J42"")"),0)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IFERROR(__xludf.DUMMYFUNCTION("IMPORTRANGE(""https://docs.google.com/spreadsheets/d/1SX6NBoVAgQJ6U1MVXOaj8PK2l7WJ3RER9xtqwdhxkhw/edit?usp=sharing"",""พระนครศรีอยุธยา!I43"")"),0)</f>
        <v>0</v>
      </c>
      <c r="J108" s="204">
        <f ca="1">IFERROR(__xludf.DUMMYFUNCTION("IMPORTRANGE(""https://docs.google.com/spreadsheets/d/1SX6NBoVAgQJ6U1MVXOaj8PK2l7WJ3RER9xtqwdhxkhw/edit?usp=sharing"",""พระนครศรีอยุธยา!J43"")"),0)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IFERROR(__xludf.DUMMYFUNCTION("IMPORTRANGE(""https://docs.google.com/spreadsheets/d/1SX6NBoVAgQJ6U1MVXOaj8PK2l7WJ3RER9xtqwdhxkhw/edit?usp=sharing"",""พระนครศรีอยุธยา!I44"")"),0)</f>
        <v>0</v>
      </c>
      <c r="J109" s="204">
        <f ca="1">IFERROR(__xludf.DUMMYFUNCTION("IMPORTRANGE(""https://docs.google.com/spreadsheets/d/1SX6NBoVAgQJ6U1MVXOaj8PK2l7WJ3RER9xtqwdhxkhw/edit?usp=sharing"",""พระนครศรีอยุธยา!J44"")"),0)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IFERROR(__xludf.DUMMYFUNCTION("IMPORTRANGE(""https://docs.google.com/spreadsheets/d/1SX6NBoVAgQJ6U1MVXOaj8PK2l7WJ3RER9xtqwdhxkhw/edit?usp=sharing"",""พระนครศรีอยุธยา!I45"")"),0)</f>
        <v>0</v>
      </c>
      <c r="J110" s="204">
        <f ca="1">IFERROR(__xludf.DUMMYFUNCTION("IMPORTRANGE(""https://docs.google.com/spreadsheets/d/1SX6NBoVAgQJ6U1MVXOaj8PK2l7WJ3RER9xtqwdhxkhw/edit?usp=sharing"",""พระนครศรีอยุธยา!J45"")"),0)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IFERROR(__xludf.DUMMYFUNCTION("IMPORTRANGE(""https://docs.google.com/spreadsheets/d/1SX6NBoVAgQJ6U1MVXOaj8PK2l7WJ3RER9xtqwdhxkhw/edit?usp=sharing"",""พระนครศรีอยุธยา!I46"")"),0)</f>
        <v>0</v>
      </c>
      <c r="J111" s="204">
        <f ca="1">IFERROR(__xludf.DUMMYFUNCTION("IMPORTRANGE(""https://docs.google.com/spreadsheets/d/1SX6NBoVAgQJ6U1MVXOaj8PK2l7WJ3RER9xtqwdhxkhw/edit?usp=sharing"",""พระนครศรีอยุธยา!J46"")"),0)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IFERROR(__xludf.DUMMYFUNCTION("IMPORTRANGE(""https://docs.google.com/spreadsheets/d/1SX6NBoVAgQJ6U1MVXOaj8PK2l7WJ3RER9xtqwdhxkhw/edit?usp=sharing"",""พระนครศรีอยุธยา!I47"")"),0)</f>
        <v>0</v>
      </c>
      <c r="J112" s="204">
        <f ca="1">IFERROR(__xludf.DUMMYFUNCTION("IMPORTRANGE(""https://docs.google.com/spreadsheets/d/1SX6NBoVAgQJ6U1MVXOaj8PK2l7WJ3RER9xtqwdhxkhw/edit?usp=sharing"",""พระนครศรีอยุธยา!J47"")"),0)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IFERROR(__xludf.DUMMYFUNCTION("IMPORTRANGE(""https://docs.google.com/spreadsheets/d/1SX6NBoVAgQJ6U1MVXOaj8PK2l7WJ3RER9xtqwdhxkhw/edit?usp=sharing"",""พระนครศรีอยุธยา!I48"")"),0)</f>
        <v>0</v>
      </c>
      <c r="J113" s="204">
        <f ca="1">IFERROR(__xludf.DUMMYFUNCTION("IMPORTRANGE(""https://docs.google.com/spreadsheets/d/1SX6NBoVAgQJ6U1MVXOaj8PK2l7WJ3RER9xtqwdhxkhw/edit?usp=sharing"",""พระนครศรีอยุธยา!J48"")"),0)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IFERROR(__xludf.DUMMYFUNCTION("IMPORTRANGE(""https://docs.google.com/spreadsheets/d/1SX6NBoVAgQJ6U1MVXOaj8PK2l7WJ3RER9xtqwdhxkhw/edit?usp=sharing"",""พระนครศรีอยุธยา!J49"")"),0)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IFERROR(__xludf.DUMMYFUNCTION("IMPORTRANGE(""https://docs.google.com/spreadsheets/d/1SX6NBoVAgQJ6U1MVXOaj8PK2l7WJ3RER9xtqwdhxkhw/edit?usp=sharing"",""พระนครศรีอยุธยา!J50"")"),0)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IFERROR(__xludf.DUMMYFUNCTION("IMPORTRANGE(""https://docs.google.com/spreadsheets/d/1SX6NBoVAgQJ6U1MVXOaj8PK2l7WJ3RER9xtqwdhxkhw/edit?usp=sharing"",""พระนครศรีอยุธยา!I52"")"),0)</f>
        <v>0</v>
      </c>
      <c r="J117" s="142">
        <f ca="1">IFERROR(__xludf.DUMMYFUNCTION("IMPORTRANGE(""https://docs.google.com/spreadsheets/d/1SX6NBoVAgQJ6U1MVXOaj8PK2l7WJ3RER9xtqwdhxkhw/edit?usp=sharing"",""พระนครศรีอยุธยา!J52"")"),0)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IFERROR(__xludf.DUMMYFUNCTION("IMPORTRANGE(""https://docs.google.com/spreadsheets/d/1Yj_ptqi66GCucihVvJfMjLAmec39IyEx_6qawtMGysU/edit?usp=sharing"",""สบก!BA70"")"),0)</f>
        <v>0</v>
      </c>
      <c r="N122" s="169">
        <f ca="1">IFERROR(__xludf.DUMMYFUNCTION("IMPORTRANGE(""https://docs.google.com/spreadsheets/d/1Yj_ptqi66GCucihVvJfMjLAmec39IyEx_6qawtMGysU/edit?usp=sharing"",""สบก!BB70"")"),0)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IFERROR(__xludf.DUMMYFUNCTION("IMPORTRANGE(""https://docs.google.com/spreadsheets/d/1Yj_ptqi66GCucihVvJfMjLAmec39IyEx_6qawtMGysU/edit?usp=sharing"",""สบก!AW70"")"),0)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IFERROR(__xludf.DUMMYFUNCTION("IMPORTRANGE(""https://docs.google.com/spreadsheets/d/1Yj_ptqi66GCucihVvJfMjLAmec39IyEx_6qawtMGysU/edit?usp=sharing"",""สบก!AX70"")"),0)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IFERROR(__xludf.DUMMYFUNCTION("IMPORTRANGE(""https://docs.google.com/spreadsheets/d/1Yj_ptqi66GCucihVvJfMjLAmec39IyEx_6qawtMGysU/edit?usp=sharing"",""สบก!AY70"")"),0)</f>
        <v>0</v>
      </c>
      <c r="M126" s="49"/>
      <c r="N126" s="49">
        <f ca="1">IFERROR(__xludf.DUMMYFUNCTION("IMPORTRANGE(""https://docs.google.com/spreadsheets/d/1Yj_ptqi66GCucihVvJfMjLAmec39IyEx_6qawtMGysU/edit?usp=sharing"",""สบก!BC70"")"),0)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261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IFERROR(__xludf.DUMMYFUNCTION("IMPORTRANGE(""https://docs.google.com/spreadsheets/d/1SX6NBoVAgQJ6U1MVXOaj8PK2l7WJ3RER9xtqwdhxkhw/edit?usp=sharing"",""พระนครศรีอยุธยา!J58"")"),0)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IFERROR(__xludf.DUMMYFUNCTION("IMPORTRANGE(""https://docs.google.com/spreadsheets/d/1SX6NBoVAgQJ6U1MVXOaj8PK2l7WJ3RER9xtqwdhxkhw/edit?usp=sharing"",""พระนครศรีอยุธยา!J59"")"),0)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IFERROR(__xludf.DUMMYFUNCTION("IMPORTRANGE(""https://docs.google.com/spreadsheets/d/1SX6NBoVAgQJ6U1MVXOaj8PK2l7WJ3RER9xtqwdhxkhw/edit?usp=sharing"",""พระนครศรีอยุธยา!J60"")"),0)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IFERROR(__xludf.DUMMYFUNCTION("IMPORTRANGE(""https://docs.google.com/spreadsheets/d/1SX6NBoVAgQJ6U1MVXOaj8PK2l7WJ3RER9xtqwdhxkhw/edit?usp=sharing"",""พระนครศรีอยุธยา!J61"")"),0)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IFERROR(__xludf.DUMMYFUNCTION("IMPORTRANGE(""https://docs.google.com/spreadsheets/d/1SX6NBoVAgQJ6U1MVXOaj8PK2l7WJ3RER9xtqwdhxkhw/edit?usp=sharing"",""พระนครศรีอยุธยา!I62"")"),0)</f>
        <v>0</v>
      </c>
      <c r="J132" s="204">
        <f ca="1">IFERROR(__xludf.DUMMYFUNCTION("IMPORTRANGE(""https://docs.google.com/spreadsheets/d/1SX6NBoVAgQJ6U1MVXOaj8PK2l7WJ3RER9xtqwdhxkhw/edit?usp=sharing"",""พระนครศรีอยุธยา!J62"")"),0)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IFERROR(__xludf.DUMMYFUNCTION("IMPORTRANGE(""https://docs.google.com/spreadsheets/d/1SX6NBoVAgQJ6U1MVXOaj8PK2l7WJ3RER9xtqwdhxkhw/edit?usp=sharing"",""พระนครศรีอยุธยา!I63"")"),0)</f>
        <v>0</v>
      </c>
      <c r="J133" s="204">
        <f ca="1">IFERROR(__xludf.DUMMYFUNCTION("IMPORTRANGE(""https://docs.google.com/spreadsheets/d/1SX6NBoVAgQJ6U1MVXOaj8PK2l7WJ3RER9xtqwdhxkhw/edit?usp=sharing"",""พระนครศรีอยุธยา!J63"")"),0)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IFERROR(__xludf.DUMMYFUNCTION("IMPORTRANGE(""https://docs.google.com/spreadsheets/d/1SX6NBoVAgQJ6U1MVXOaj8PK2l7WJ3RER9xtqwdhxkhw/edit?usp=sharing"",""พระนครศรีอยุธยา!J64"")"),0)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IFERROR(__xludf.DUMMYFUNCTION("IMPORTRANGE(""https://docs.google.com/spreadsheets/d/1SX6NBoVAgQJ6U1MVXOaj8PK2l7WJ3RER9xtqwdhxkhw/edit?usp=sharing"",""พระนครศรีอยุธยา!J65"")"),0)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IFERROR(__xludf.DUMMYFUNCTION("IMPORTRANGE(""https://docs.google.com/spreadsheets/d/1SX6NBoVAgQJ6U1MVXOaj8PK2l7WJ3RER9xtqwdhxkhw/edit?usp=sharing"",""พระนครศรีอยุธยา!I68"")"),40)</f>
        <v>40</v>
      </c>
      <c r="J138" s="267">
        <f ca="1">IFERROR(__xludf.DUMMYFUNCTION("IMPORTRANGE(""https://docs.google.com/spreadsheets/d/1SX6NBoVAgQJ6U1MVXOaj8PK2l7WJ3RER9xtqwdhxkhw/edit?usp=sharing"",""พระนครศรีอยุธยา!J68"")"),40)</f>
        <v>40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670200</v>
      </c>
      <c r="M140" s="152">
        <f t="shared" ca="1" si="64"/>
        <v>593305</v>
      </c>
      <c r="N140" s="152">
        <f t="shared" ca="1" si="64"/>
        <v>382880.08</v>
      </c>
      <c r="O140" s="151">
        <f t="shared" ref="O140:O142" ca="1" si="65">IF(L140&gt;0,N140*100/L140,0)</f>
        <v>57.129227096389137</v>
      </c>
      <c r="P140" s="151">
        <f t="shared" ref="P140:P142" ca="1" si="66">IF(M140&gt;0,N140*100/M140,0)</f>
        <v>64.53343221445968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670200</v>
      </c>
      <c r="M142" s="157">
        <f t="shared" ca="1" si="68"/>
        <v>593305</v>
      </c>
      <c r="N142" s="157">
        <f t="shared" ca="1" si="68"/>
        <v>382880.08</v>
      </c>
      <c r="O142" s="156">
        <f t="shared" ca="1" si="65"/>
        <v>57.129227096389137</v>
      </c>
      <c r="P142" s="156">
        <f t="shared" ca="1" si="66"/>
        <v>64.53343221445968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670200</v>
      </c>
      <c r="M144" s="168">
        <f ca="1">IFERROR(__xludf.DUMMYFUNCTION("IMPORTRANGE(""https://docs.google.com/spreadsheets/d/1Yj_ptqi66GCucihVvJfMjLAmec39IyEx_6qawtMGysU/edit?usp=sharing"",""สบก!BJ70"")"),593305)</f>
        <v>593305</v>
      </c>
      <c r="N144" s="169">
        <f ca="1">IFERROR(__xludf.DUMMYFUNCTION("IMPORTRANGE(""https://docs.google.com/spreadsheets/d/1Yj_ptqi66GCucihVvJfMjLAmec39IyEx_6qawtMGysU/edit?usp=sharing"",""สบก!BK70"")"),382880.08)</f>
        <v>382880.08</v>
      </c>
      <c r="O144" s="169">
        <f ca="1">IF(L144&gt;0,N144*100/L144,0)</f>
        <v>57.129227096389137</v>
      </c>
      <c r="P144" s="169">
        <f ca="1">IF(M144&gt;0,N144*100/M144,0)</f>
        <v>64.53343221445968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IFERROR(__xludf.DUMMYFUNCTION("IMPORTRANGE(""https://docs.google.com/spreadsheets/d/1Yj_ptqi66GCucihVvJfMjLAmec39IyEx_6qawtMGysU/edit?usp=sharing"",""สบก!BF70"")"),396000)</f>
        <v>396000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IFERROR(__xludf.DUMMYFUNCTION("IMPORTRANGE(""https://docs.google.com/spreadsheets/d/1Yj_ptqi66GCucihVvJfMjLAmec39IyEx_6qawtMGysU/edit?usp=sharing"",""สบก!BG70"")"),274200)</f>
        <v>274200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IFERROR(__xludf.DUMMYFUNCTION("IMPORTRANGE(""https://docs.google.com/spreadsheets/d/1Yj_ptqi66GCucihVvJfMjLAmec39IyEx_6qawtMGysU/edit?usp=sharing"",""สบก!BH70"")"),0)</f>
        <v>0</v>
      </c>
      <c r="M148" s="49"/>
      <c r="N148" s="49">
        <f ca="1">IFERROR(__xludf.DUMMYFUNCTION("IMPORTRANGE(""https://docs.google.com/spreadsheets/d/1Yj_ptqi66GCucihVvJfMjLAmec39IyEx_6qawtMGysU/edit?usp=sharing"",""สบก!BL70"")"),0)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IFERROR(__xludf.DUMMYFUNCTION("IMPORTRANGE(""https://docs.google.com/spreadsheets/d/1SX6NBoVAgQJ6U1MVXOaj8PK2l7WJ3RER9xtqwdhxkhw/edit?usp=sharing"",""พระนครศรีอยุธยา!I74"")"),4)</f>
        <v>4</v>
      </c>
      <c r="J149" s="275">
        <f ca="1">IFERROR(__xludf.DUMMYFUNCTION("IMPORTRANGE(""https://docs.google.com/spreadsheets/d/1SX6NBoVAgQJ6U1MVXOaj8PK2l7WJ3RER9xtqwdhxkhw/edit?usp=sharing"",""พระนครศรีอยุธยา!J74"")"),1)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IFERROR(__xludf.DUMMYFUNCTION("IMPORTRANGE(""https://docs.google.com/spreadsheets/d/1SX6NBoVAgQJ6U1MVXOaj8PK2l7WJ3RER9xtqwdhxkhw/edit?usp=sharing"",""พระนครศรีอยุธยา!J79"")"),0)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IFERROR(__xludf.DUMMYFUNCTION("IMPORTRANGE(""https://docs.google.com/spreadsheets/d/1SX6NBoVAgQJ6U1MVXOaj8PK2l7WJ3RER9xtqwdhxkhw/edit?usp=sharing"",""พระนครศรีอยุธยา!J80"")"),1)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IFERROR(__xludf.DUMMYFUNCTION("IMPORTRANGE(""https://docs.google.com/spreadsheets/d/1SX6NBoVAgQJ6U1MVXOaj8PK2l7WJ3RER9xtqwdhxkhw/edit?usp=sharing"",""พระนครศรีอยุธยา!J81"")"),1)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IFERROR(__xludf.DUMMYFUNCTION("IMPORTRANGE(""https://docs.google.com/spreadsheets/d/1SX6NBoVAgQJ6U1MVXOaj8PK2l7WJ3RER9xtqwdhxkhw/edit?usp=sharing"",""พระนครศรีอยุธยา!J82"")"),1)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IFERROR(__xludf.DUMMYFUNCTION("IMPORTRANGE(""https://docs.google.com/spreadsheets/d/1SX6NBoVAgQJ6U1MVXOaj8PK2l7WJ3RER9xtqwdhxkhw/edit?usp=sharing"",""พระนครศรีอยุธยา!I83"")"),4)</f>
        <v>4</v>
      </c>
      <c r="J158" s="189">
        <f ca="1">IFERROR(__xludf.DUMMYFUNCTION("IMPORTRANGE(""https://docs.google.com/spreadsheets/d/1SX6NBoVAgQJ6U1MVXOaj8PK2l7WJ3RER9xtqwdhxkhw/edit?usp=sharing"",""พระนครศรีอยุธยา!J83"")"),1)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IFERROR(__xludf.DUMMYFUNCTION("IMPORTRANGE(""https://docs.google.com/spreadsheets/d/1SX6NBoVAgQJ6U1MVXOaj8PK2l7WJ3RER9xtqwdhxkhw/edit?usp=sharing"",""พระนครศรีอยุธยา!J84"")"),22)</f>
        <v>22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IFERROR(__xludf.DUMMYFUNCTION("IMPORTRANGE(""https://docs.google.com/spreadsheets/d/1SX6NBoVAgQJ6U1MVXOaj8PK2l7WJ3RER9xtqwdhxkhw/edit?usp=sharing"",""พระนครศรีอยุธยา!J85"")"),22)</f>
        <v>22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IFERROR(__xludf.DUMMYFUNCTION("IMPORTRANGE(""https://docs.google.com/spreadsheets/d/1SX6NBoVAgQJ6U1MVXOaj8PK2l7WJ3RER9xtqwdhxkhw/edit?usp=sharing"",""พระนครศรีอยุธยา!J86"")"),0)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IFERROR(__xludf.DUMMYFUNCTION("IMPORTRANGE(""https://docs.google.com/spreadsheets/d/1SX6NBoVAgQJ6U1MVXOaj8PK2l7WJ3RER9xtqwdhxkhw/edit?usp=sharing"",""พระนครศรีอยุธยา!J87"")"),0)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IFERROR(__xludf.DUMMYFUNCTION("IMPORTRANGE(""https://docs.google.com/spreadsheets/d/1SX6NBoVAgQJ6U1MVXOaj8PK2l7WJ3RER9xtqwdhxkhw/edit?usp=sharing"",""พระนครศรีอยุธยา!J88"")"),0)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IFERROR(__xludf.DUMMYFUNCTION("IMPORTRANGE(""https://docs.google.com/spreadsheets/d/1SX6NBoVAgQJ6U1MVXOaj8PK2l7WJ3RER9xtqwdhxkhw/edit?usp=sharing"",""พระนครศรีอยุธยา!I89"")"),3)</f>
        <v>3</v>
      </c>
      <c r="J164" s="284">
        <f ca="1">IFERROR(__xludf.DUMMYFUNCTION("IMPORTRANGE(""https://docs.google.com/spreadsheets/d/1SX6NBoVAgQJ6U1MVXOaj8PK2l7WJ3RER9xtqwdhxkhw/edit?usp=sharing"",""พระนครศรีอยุธยา!J89"")"),3)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IFERROR(__xludf.DUMMYFUNCTION("IMPORTRANGE(""https://docs.google.com/spreadsheets/d/1SX6NBoVAgQJ6U1MVXOaj8PK2l7WJ3RER9xtqwdhxkhw/edit?usp=sharing"",""พระนครศรีอยุธยา!J94"")"),0)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IFERROR(__xludf.DUMMYFUNCTION("IMPORTRANGE(""https://docs.google.com/spreadsheets/d/1SX6NBoVAgQJ6U1MVXOaj8PK2l7WJ3RER9xtqwdhxkhw/edit?usp=sharing"",""พระนครศรีอยุธยา!J95"")"),1)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IFERROR(__xludf.DUMMYFUNCTION("IMPORTRANGE(""https://docs.google.com/spreadsheets/d/1SX6NBoVAgQJ6U1MVXOaj8PK2l7WJ3RER9xtqwdhxkhw/edit?usp=sharing"",""พระนครศรีอยุธยา!J96"")"),1)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IFERROR(__xludf.DUMMYFUNCTION("IMPORTRANGE(""https://docs.google.com/spreadsheets/d/1SX6NBoVAgQJ6U1MVXOaj8PK2l7WJ3RER9xtqwdhxkhw/edit?usp=sharing"",""พระนครศรีอยุธยา!J97"")"),1)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IFERROR(__xludf.DUMMYFUNCTION("IMPORTRANGE(""https://docs.google.com/spreadsheets/d/1SX6NBoVAgQJ6U1MVXOaj8PK2l7WJ3RER9xtqwdhxkhw/edit?usp=sharing"",""พระนครศรีอยุธยา!I98"")"),3)</f>
        <v>3</v>
      </c>
      <c r="J173" s="189">
        <f ca="1">IFERROR(__xludf.DUMMYFUNCTION("IMPORTRANGE(""https://docs.google.com/spreadsheets/d/1SX6NBoVAgQJ6U1MVXOaj8PK2l7WJ3RER9xtqwdhxkhw/edit?usp=sharing"",""พระนครศรีอยุธยา!J98"")"),3)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IFERROR(__xludf.DUMMYFUNCTION("IMPORTRANGE(""https://docs.google.com/spreadsheets/d/1SX6NBoVAgQJ6U1MVXOaj8PK2l7WJ3RER9xtqwdhxkhw/edit?usp=sharing"",""พระนครศรีอยุธยา!J99"")"),0)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IFERROR(__xludf.DUMMYFUNCTION("IMPORTRANGE(""https://docs.google.com/spreadsheets/d/1SX6NBoVAgQJ6U1MVXOaj8PK2l7WJ3RER9xtqwdhxkhw/edit?usp=sharing"",""พระนครศรีอยุธยา!J100"")"),0)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IFERROR(__xludf.DUMMYFUNCTION("IMPORTRANGE(""https://docs.google.com/spreadsheets/d/1SX6NBoVAgQJ6U1MVXOaj8PK2l7WJ3RER9xtqwdhxkhw/edit?usp=sharing"",""พระนครศรีอยุธยา!I101"")"),0)</f>
        <v>0</v>
      </c>
      <c r="J176" s="284">
        <f ca="1">IFERROR(__xludf.DUMMYFUNCTION("IMPORTRANGE(""https://docs.google.com/spreadsheets/d/1SX6NBoVAgQJ6U1MVXOaj8PK2l7WJ3RER9xtqwdhxkhw/edit?usp=sharing"",""พระนครศรีอยุธยา!J101"")"),0)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IFERROR(__xludf.DUMMYFUNCTION("IMPORTRANGE(""https://docs.google.com/spreadsheets/d/1SX6NBoVAgQJ6U1MVXOaj8PK2l7WJ3RER9xtqwdhxkhw/edit?usp=sharing"",""พระนครศรีอยุธยา!J106"")"),0)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IFERROR(__xludf.DUMMYFUNCTION("IMPORTRANGE(""https://docs.google.com/spreadsheets/d/1SX6NBoVAgQJ6U1MVXOaj8PK2l7WJ3RER9xtqwdhxkhw/edit?usp=sharing"",""พระนครศรีอยุธยา!J107"")"),0)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IFERROR(__xludf.DUMMYFUNCTION("IMPORTRANGE(""https://docs.google.com/spreadsheets/d/1SX6NBoVAgQJ6U1MVXOaj8PK2l7WJ3RER9xtqwdhxkhw/edit?usp=sharing"",""พระนครศรีอยุธยา!J108"")"),0)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IFERROR(__xludf.DUMMYFUNCTION("IMPORTRANGE(""https://docs.google.com/spreadsheets/d/1SX6NBoVAgQJ6U1MVXOaj8PK2l7WJ3RER9xtqwdhxkhw/edit?usp=sharing"",""พระนครศรีอยุธยา!J109"")"),0)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IFERROR(__xludf.DUMMYFUNCTION("IMPORTRANGE(""https://docs.google.com/spreadsheets/d/1SX6NBoVAgQJ6U1MVXOaj8PK2l7WJ3RER9xtqwdhxkhw/edit?usp=sharing"",""พระนครศรีอยุธยา!I110"")"),0)</f>
        <v>0</v>
      </c>
      <c r="J185" s="204">
        <f ca="1">IFERROR(__xludf.DUMMYFUNCTION("IMPORTRANGE(""https://docs.google.com/spreadsheets/d/1SX6NBoVAgQJ6U1MVXOaj8PK2l7WJ3RER9xtqwdhxkhw/edit?usp=sharing"",""พระนครศรีอยุธยา!J110"")"),0)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IFERROR(__xludf.DUMMYFUNCTION("IMPORTRANGE(""https://docs.google.com/spreadsheets/d/1SX6NBoVAgQJ6U1MVXOaj8PK2l7WJ3RER9xtqwdhxkhw/edit?usp=sharing"",""พระนครศรีอยุธยา!I111"")"),0)</f>
        <v>0</v>
      </c>
      <c r="J186" s="204">
        <f ca="1">IFERROR(__xludf.DUMMYFUNCTION("IMPORTRANGE(""https://docs.google.com/spreadsheets/d/1SX6NBoVAgQJ6U1MVXOaj8PK2l7WJ3RER9xtqwdhxkhw/edit?usp=sharing"",""พระนครศรีอยุธยา!J111"")"),0)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IFERROR(__xludf.DUMMYFUNCTION("IMPORTRANGE(""https://docs.google.com/spreadsheets/d/1SX6NBoVAgQJ6U1MVXOaj8PK2l7WJ3RER9xtqwdhxkhw/edit?usp=sharing"",""พระนครศรีอยุธยา!J112"")"),0)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IFERROR(__xludf.DUMMYFUNCTION("IMPORTRANGE(""https://docs.google.com/spreadsheets/d/1SX6NBoVAgQJ6U1MVXOaj8PK2l7WJ3RER9xtqwdhxkhw/edit?usp=sharing"",""พระนครศรีอยุธยา!J113"")"),0)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IFERROR(__xludf.DUMMYFUNCTION("IMPORTRANGE(""https://docs.google.com/spreadsheets/d/1SX6NBoVAgQJ6U1MVXOaj8PK2l7WJ3RER9xtqwdhxkhw/edit?usp=sharing"",""พระนครศรีอยุธยา!I114"")"),20000)</f>
        <v>20000</v>
      </c>
      <c r="J189" s="284">
        <f ca="1">IFERROR(__xludf.DUMMYFUNCTION("IMPORTRANGE(""https://docs.google.com/spreadsheets/d/1SX6NBoVAgQJ6U1MVXOaj8PK2l7WJ3RER9xtqwdhxkhw/edit?usp=sharing"",""พระนครศรีอยุธยา!J114"")"),0)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IFERROR(__xludf.DUMMYFUNCTION("IMPORTRANGE(""https://docs.google.com/spreadsheets/d/1SX6NBoVAgQJ6U1MVXOaj8PK2l7WJ3RER9xtqwdhxkhw/edit?usp=sharing"",""พระนครศรีอยุธยา!J119"")"),0)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IFERROR(__xludf.DUMMYFUNCTION("IMPORTRANGE(""https://docs.google.com/spreadsheets/d/1SX6NBoVAgQJ6U1MVXOaj8PK2l7WJ3RER9xtqwdhxkhw/edit?usp=sharing"",""พระนครศรีอยุธยา!J120"")"),1)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IFERROR(__xludf.DUMMYFUNCTION("IMPORTRANGE(""https://docs.google.com/spreadsheets/d/1SX6NBoVAgQJ6U1MVXOaj8PK2l7WJ3RER9xtqwdhxkhw/edit?usp=sharing"",""พระนครศรีอยุธยา!J121"")"),0)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IFERROR(__xludf.DUMMYFUNCTION("IMPORTRANGE(""https://docs.google.com/spreadsheets/d/1SX6NBoVAgQJ6U1MVXOaj8PK2l7WJ3RER9xtqwdhxkhw/edit?usp=sharing"",""พระนครศรีอยุธยา!J122"")"),0)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IFERROR(__xludf.DUMMYFUNCTION("IMPORTRANGE(""https://docs.google.com/spreadsheets/d/1SX6NBoVAgQJ6U1MVXOaj8PK2l7WJ3RER9xtqwdhxkhw/edit?usp=sharing"",""พระนครศรีอยุธยา!I124"")"),20000)</f>
        <v>20000</v>
      </c>
      <c r="J199" s="189">
        <f ca="1">IFERROR(__xludf.DUMMYFUNCTION("IMPORTRANGE(""https://docs.google.com/spreadsheets/d/1SX6NBoVAgQJ6U1MVXOaj8PK2l7WJ3RER9xtqwdhxkhw/edit?usp=sharing"",""พระนครศรีอยุธยา!J124"")"),0)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IFERROR(__xludf.DUMMYFUNCTION("IMPORTRANGE(""https://docs.google.com/spreadsheets/d/1SX6NBoVAgQJ6U1MVXOaj8PK2l7WJ3RER9xtqwdhxkhw/edit?usp=sharing"",""พระนครศรีอยุธยา!I125"")"),20000)</f>
        <v>20000</v>
      </c>
      <c r="J200" s="189">
        <f ca="1">IFERROR(__xludf.DUMMYFUNCTION("IMPORTRANGE(""https://docs.google.com/spreadsheets/d/1SX6NBoVAgQJ6U1MVXOaj8PK2l7WJ3RER9xtqwdhxkhw/edit?usp=sharing"",""พระนครศรีอยุธยา!J125"")"),0)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IFERROR(__xludf.DUMMYFUNCTION("IMPORTRANGE(""https://docs.google.com/spreadsheets/d/1SX6NBoVAgQJ6U1MVXOaj8PK2l7WJ3RER9xtqwdhxkhw/edit?usp=sharing"",""พระนครศรีอยุธยา!I126"")"),0)</f>
        <v>0</v>
      </c>
      <c r="J201" s="189">
        <f ca="1">IFERROR(__xludf.DUMMYFUNCTION("IMPORTRANGE(""https://docs.google.com/spreadsheets/d/1SX6NBoVAgQJ6U1MVXOaj8PK2l7WJ3RER9xtqwdhxkhw/edit?usp=sharing"",""พระนครศรีอยุธยา!J126"")"),0)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IFERROR(__xludf.DUMMYFUNCTION("IMPORTRANGE(""https://docs.google.com/spreadsheets/d/1SX6NBoVAgQJ6U1MVXOaj8PK2l7WJ3RER9xtqwdhxkhw/edit?usp=sharing"",""พระนครศรีอยุธยา!J127"")"),0)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IFERROR(__xludf.DUMMYFUNCTION("IMPORTRANGE(""https://docs.google.com/spreadsheets/d/1SX6NBoVAgQJ6U1MVXOaj8PK2l7WJ3RER9xtqwdhxkhw/edit?usp=sharing"",""พระนครศรีอยุธยา!J128"")"),0)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IFERROR(__xludf.DUMMYFUNCTION("IMPORTRANGE(""https://docs.google.com/spreadsheets/d/1SX6NBoVAgQJ6U1MVXOaj8PK2l7WJ3RER9xtqwdhxkhw/edit?usp=sharing"",""พระนครศรีอยุธยา!I129"")"),40)</f>
        <v>40</v>
      </c>
      <c r="J204" s="284">
        <f ca="1">IFERROR(__xludf.DUMMYFUNCTION("IMPORTRANGE(""https://docs.google.com/spreadsheets/d/1SX6NBoVAgQJ6U1MVXOaj8PK2l7WJ3RER9xtqwdhxkhw/edit?usp=sharing"",""พระนครศรีอยุธยา!J129"")"),40)</f>
        <v>40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IFERROR(__xludf.DUMMYFUNCTION("IMPORTRANGE(""https://docs.google.com/spreadsheets/d/1SX6NBoVAgQJ6U1MVXOaj8PK2l7WJ3RER9xtqwdhxkhw/edit?usp=sharing"",""พระนครศรีอยุธยา!J134"")"),0)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IFERROR(__xludf.DUMMYFUNCTION("IMPORTRANGE(""https://docs.google.com/spreadsheets/d/1SX6NBoVAgQJ6U1MVXOaj8PK2l7WJ3RER9xtqwdhxkhw/edit?usp=sharing"",""พระนครศรีอยุธยา!J135"")"),1)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IFERROR(__xludf.DUMMYFUNCTION("IMPORTRANGE(""https://docs.google.com/spreadsheets/d/1SX6NBoVAgQJ6U1MVXOaj8PK2l7WJ3RER9xtqwdhxkhw/edit?usp=sharing"",""พระนครศรีอยุธยา!J136"")"),1)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IFERROR(__xludf.DUMMYFUNCTION("IMPORTRANGE(""https://docs.google.com/spreadsheets/d/1SX6NBoVAgQJ6U1MVXOaj8PK2l7WJ3RER9xtqwdhxkhw/edit?usp=sharing"",""พระนครศรีอยุธยา!J137"")"),1)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IFERROR(__xludf.DUMMYFUNCTION("IMPORTRANGE(""https://docs.google.com/spreadsheets/d/1SX6NBoVAgQJ6U1MVXOaj8PK2l7WJ3RER9xtqwdhxkhw/edit?usp=sharing"",""พระนครศรีอยุธยา!I138"")"),40)</f>
        <v>40</v>
      </c>
      <c r="J213" s="204">
        <f ca="1">IFERROR(__xludf.DUMMYFUNCTION("IMPORTRANGE(""https://docs.google.com/spreadsheets/d/1SX6NBoVAgQJ6U1MVXOaj8PK2l7WJ3RER9xtqwdhxkhw/edit?usp=sharing"",""พระนครศรีอยุธยา!J138"")"),40)</f>
        <v>40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IFERROR(__xludf.DUMMYFUNCTION("IMPORTRANGE(""https://docs.google.com/spreadsheets/d/1SX6NBoVAgQJ6U1MVXOaj8PK2l7WJ3RER9xtqwdhxkhw/edit?usp=sharing"",""พระนครศรีอยุธยา!I140"")"),0)</f>
        <v>0</v>
      </c>
      <c r="J215" s="204">
        <f ca="1">IFERROR(__xludf.DUMMYFUNCTION("IMPORTRANGE(""https://docs.google.com/spreadsheets/d/1SX6NBoVAgQJ6U1MVXOaj8PK2l7WJ3RER9xtqwdhxkhw/edit?usp=sharing"",""พระนครศรีอยุธยา!J140"")"),0)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IFERROR(__xludf.DUMMYFUNCTION("IMPORTRANGE(""https://docs.google.com/spreadsheets/d/1SX6NBoVAgQJ6U1MVXOaj8PK2l7WJ3RER9xtqwdhxkhw/edit?usp=sharing"",""พระนครศรีอยุธยา!I141"")"),1)</f>
        <v>1</v>
      </c>
      <c r="J216" s="204">
        <f ca="1">IFERROR(__xludf.DUMMYFUNCTION("IMPORTRANGE(""https://docs.google.com/spreadsheets/d/1SX6NBoVAgQJ6U1MVXOaj8PK2l7WJ3RER9xtqwdhxkhw/edit?usp=sharing"",""พระนครศรีอยุธยา!J141"")"),0)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IFERROR(__xludf.DUMMYFUNCTION("IMPORTRANGE(""https://docs.google.com/spreadsheets/d/1SX6NBoVAgQJ6U1MVXOaj8PK2l7WJ3RER9xtqwdhxkhw/edit?usp=sharing"",""พระนครศรีอยุธยา!J142"")"),0)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IFERROR(__xludf.DUMMYFUNCTION("IMPORTRANGE(""https://docs.google.com/spreadsheets/d/1SX6NBoVAgQJ6U1MVXOaj8PK2l7WJ3RER9xtqwdhxkhw/edit?usp=sharing"",""พระนครศรีอยุธยา!J143"")"),0)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IFERROR(__xludf.DUMMYFUNCTION("IMPORTRANGE(""https://docs.google.com/spreadsheets/d/1SX6NBoVAgQJ6U1MVXOaj8PK2l7WJ3RER9xtqwdhxkhw/edit?usp=sharing"",""พระนครศรีอยุธยา!I144"")"),15)</f>
        <v>15</v>
      </c>
      <c r="J219" s="267">
        <f ca="1">IFERROR(__xludf.DUMMYFUNCTION("IMPORTRANGE(""https://docs.google.com/spreadsheets/d/1SX6NBoVAgQJ6U1MVXOaj8PK2l7WJ3RER9xtqwdhxkhw/edit?usp=sharing"",""พระนครศรีอยุธยา!J144"")"),15)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20697.599999999999</v>
      </c>
      <c r="O220" s="151">
        <f t="shared" ref="O220:O222" ca="1" si="73">IF(L220&gt;0,N220*100/L220,0)</f>
        <v>97.976804733727803</v>
      </c>
      <c r="P220" s="151">
        <f t="shared" ref="P220:P222" ca="1" si="74">IF(M220&gt;0,N220*100/M220,0)</f>
        <v>97.976804733727803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20697.599999999999</v>
      </c>
      <c r="O222" s="156">
        <f t="shared" ca="1" si="73"/>
        <v>97.976804733727803</v>
      </c>
      <c r="P222" s="156">
        <f t="shared" ca="1" si="74"/>
        <v>97.976804733727803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IFERROR(__xludf.DUMMYFUNCTION("IMPORTRANGE(""https://docs.google.com/spreadsheets/d/1Yj_ptqi66GCucihVvJfMjLAmec39IyEx_6qawtMGysU/edit?usp=sharing"",""สบก!BS70"")"),21125)</f>
        <v>21125</v>
      </c>
      <c r="N224" s="169">
        <f ca="1">IFERROR(__xludf.DUMMYFUNCTION("IMPORTRANGE(""https://docs.google.com/spreadsheets/d/1Yj_ptqi66GCucihVvJfMjLAmec39IyEx_6qawtMGysU/edit?usp=sharing"",""สบก!BT70"")"),20697.6)</f>
        <v>20697.599999999999</v>
      </c>
      <c r="O224" s="169">
        <f ca="1">IF(L224&gt;0,N224*100/L224,0)</f>
        <v>97.976804733727803</v>
      </c>
      <c r="P224" s="169">
        <f ca="1">IF(M224&gt;0,N224*100/M224,0)</f>
        <v>97.976804733727803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IFERROR(__xludf.DUMMYFUNCTION("IMPORTRANGE(""https://docs.google.com/spreadsheets/d/1Yj_ptqi66GCucihVvJfMjLAmec39IyEx_6qawtMGysU/edit?usp=sharing"",""สบก!BO70"")"),0)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IFERROR(__xludf.DUMMYFUNCTION("IMPORTRANGE(""https://docs.google.com/spreadsheets/d/1Yj_ptqi66GCucihVvJfMjLAmec39IyEx_6qawtMGysU/edit?usp=sharing"",""สบก!BP70"")"),21125)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IFERROR(__xludf.DUMMYFUNCTION("IMPORTRANGE(""https://docs.google.com/spreadsheets/d/1Yj_ptqi66GCucihVvJfMjLAmec39IyEx_6qawtMGysU/edit?usp=sharing"",""สบก!BQ70"")"),0)</f>
        <v>0</v>
      </c>
      <c r="M228" s="49"/>
      <c r="N228" s="49">
        <f ca="1">IFERROR(__xludf.DUMMYFUNCTION("IMPORTRANGE(""https://docs.google.com/spreadsheets/d/1Yj_ptqi66GCucihVvJfMjLAmec39IyEx_6qawtMGysU/edit?usp=sharing"",""สบก!BU70"")"),0)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IFERROR(__xludf.DUMMYFUNCTION("IMPORTRANGE(""https://docs.google.com/spreadsheets/d/1SX6NBoVAgQJ6U1MVXOaj8PK2l7WJ3RER9xtqwdhxkhw/edit?usp=sharing"",""พระนครศรีอยุธยา!I149"")"),15)</f>
        <v>15</v>
      </c>
      <c r="J229" s="267">
        <f ca="1">IFERROR(__xludf.DUMMYFUNCTION("IMPORTRANGE(""https://docs.google.com/spreadsheets/d/1SX6NBoVAgQJ6U1MVXOaj8PK2l7WJ3RER9xtqwdhxkhw/edit?usp=sharing"",""พระนครศรีอยุธยา!J149"")"),15)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IFERROR(__xludf.DUMMYFUNCTION("IMPORTRANGE(""https://docs.google.com/spreadsheets/d/1SX6NBoVAgQJ6U1MVXOaj8PK2l7WJ3RER9xtqwdhxkhw/edit?usp=sharing"",""พระนครศรีอยุธยา!J151"")"),0)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IFERROR(__xludf.DUMMYFUNCTION("IMPORTRANGE(""https://docs.google.com/spreadsheets/d/1SX6NBoVAgQJ6U1MVXOaj8PK2l7WJ3RER9xtqwdhxkhw/edit?usp=sharing"",""พระนครศรีอยุธยา!J152"")"),1)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IFERROR(__xludf.DUMMYFUNCTION("IMPORTRANGE(""https://docs.google.com/spreadsheets/d/1SX6NBoVAgQJ6U1MVXOaj8PK2l7WJ3RER9xtqwdhxkhw/edit?usp=sharing"",""พระนครศรีอยุธยา!J153"")"),1)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IFERROR(__xludf.DUMMYFUNCTION("IMPORTRANGE(""https://docs.google.com/spreadsheets/d/1SX6NBoVAgQJ6U1MVXOaj8PK2l7WJ3RER9xtqwdhxkhw/edit?usp=sharing"",""พระนครศรีอยุธยา!J154"")"),1)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IFERROR(__xludf.DUMMYFUNCTION("IMPORTRANGE(""https://docs.google.com/spreadsheets/d/1SX6NBoVAgQJ6U1MVXOaj8PK2l7WJ3RER9xtqwdhxkhw/edit?usp=sharing"",""พระนครศรีอยุธยา!I155"")"),15)</f>
        <v>15</v>
      </c>
      <c r="J235" s="189">
        <f ca="1">IFERROR(__xludf.DUMMYFUNCTION("IMPORTRANGE(""https://docs.google.com/spreadsheets/d/1SX6NBoVAgQJ6U1MVXOaj8PK2l7WJ3RER9xtqwdhxkhw/edit?usp=sharing"",""พระนครศรีอยุธยา!J155"")"),15)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IFERROR(__xludf.DUMMYFUNCTION("IMPORTRANGE(""https://docs.google.com/spreadsheets/d/1SX6NBoVAgQJ6U1MVXOaj8PK2l7WJ3RER9xtqwdhxkhw/edit?usp=sharing"",""พระนครศรีอยุธยา!J156"")"),1)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IFERROR(__xludf.DUMMYFUNCTION("IMPORTRANGE(""https://docs.google.com/spreadsheets/d/1SX6NBoVAgQJ6U1MVXOaj8PK2l7WJ3RER9xtqwdhxkhw/edit?usp=sharing"",""พระนครศรีอยุธยา!J157"")"),0)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IFERROR(__xludf.DUMMYFUNCTION("IMPORTRANGE(""https://docs.google.com/spreadsheets/d/1SX6NBoVAgQJ6U1MVXOaj8PK2l7WJ3RER9xtqwdhxkhw/edit?usp=sharing"",""พระนครศรีอยุธยา!I158"")"),0)</f>
        <v>0</v>
      </c>
      <c r="J238" s="267">
        <f ca="1">IFERROR(__xludf.DUMMYFUNCTION("IMPORTRANGE(""https://docs.google.com/spreadsheets/d/1SX6NBoVAgQJ6U1MVXOaj8PK2l7WJ3RER9xtqwdhxkhw/edit?usp=sharing"",""พระนครศรีอยุธยา!J158"")"),0)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IFERROR(__xludf.DUMMYFUNCTION("IMPORTRANGE(""https://docs.google.com/spreadsheets/d/1SX6NBoVAgQJ6U1MVXOaj8PK2l7WJ3RER9xtqwdhxkhw/edit?usp=sharing"",""พระนครศรีอยุธยา!J159"")"),"")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IFERROR(__xludf.DUMMYFUNCTION("IMPORTRANGE(""https://docs.google.com/spreadsheets/d/1SX6NBoVAgQJ6U1MVXOaj8PK2l7WJ3RER9xtqwdhxkhw/edit?usp=sharing"",""พระนครศรีอยุธยา!J161"")"),0)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IFERROR(__xludf.DUMMYFUNCTION("IMPORTRANGE(""https://docs.google.com/spreadsheets/d/1SX6NBoVAgQJ6U1MVXOaj8PK2l7WJ3RER9xtqwdhxkhw/edit?usp=sharing"",""พระนครศรีอยุธยา!J162"")"),0)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IFERROR(__xludf.DUMMYFUNCTION("IMPORTRANGE(""https://docs.google.com/spreadsheets/d/1SX6NBoVAgQJ6U1MVXOaj8PK2l7WJ3RER9xtqwdhxkhw/edit?usp=sharing"",""พระนครศรีอยุธยา!J163"")"),0)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IFERROR(__xludf.DUMMYFUNCTION("IMPORTRANGE(""https://docs.google.com/spreadsheets/d/1SX6NBoVAgQJ6U1MVXOaj8PK2l7WJ3RER9xtqwdhxkhw/edit?usp=sharing"",""พระนครศรีอยุธยา!I164"")"),0)</f>
        <v>0</v>
      </c>
      <c r="J24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IFERROR(__xludf.DUMMYFUNCTION("IMPORTRANGE(""https://docs.google.com/spreadsheets/d/1SX6NBoVAgQJ6U1MVXOaj8PK2l7WJ3RER9xtqwdhxkhw/edit?usp=sharing"",""พระนครศรีอยุธยา!J165"")"),0)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IFERROR(__xludf.DUMMYFUNCTION("IMPORTRANGE(""https://docs.google.com/spreadsheets/d/1SX6NBoVAgQJ6U1MVXOaj8PK2l7WJ3RER9xtqwdhxkhw/edit?usp=sharing"",""พระนครศรีอยุธยา!J166"")"),0)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IFERROR(__xludf.DUMMYFUNCTION("IMPORTRANGE(""https://docs.google.com/spreadsheets/d/1SX6NBoVAgQJ6U1MVXOaj8PK2l7WJ3RER9xtqwdhxkhw/edit?usp=sharing"",""พระนครศรีอยุธยา!I169"")"),0)</f>
        <v>0</v>
      </c>
      <c r="J249" s="316">
        <f ca="1">IFERROR(__xludf.DUMMYFUNCTION("IMPORTRANGE(""https://docs.google.com/spreadsheets/d/1SX6NBoVAgQJ6U1MVXOaj8PK2l7WJ3RER9xtqwdhxkhw/edit?usp=sharing"",""พระนครศรีอยุธยา!J169"")"),0)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IFERROR(__xludf.DUMMYFUNCTION("IMPORTRANGE(""https://docs.google.com/spreadsheets/d/1Yj_ptqi66GCucihVvJfMjLAmec39IyEx_6qawtMGysU/edit?usp=sharing"",""สบก!CB70"")"),0)</f>
        <v>0</v>
      </c>
      <c r="N254" s="169">
        <f ca="1">IFERROR(__xludf.DUMMYFUNCTION("IMPORTRANGE(""https://docs.google.com/spreadsheets/d/1Yj_ptqi66GCucihVvJfMjLAmec39IyEx_6qawtMGysU/edit?usp=sharing"",""สบก!CC70"")"),0)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IFERROR(__xludf.DUMMYFUNCTION("IMPORTRANGE(""https://docs.google.com/spreadsheets/d/1Yj_ptqi66GCucihVvJfMjLAmec39IyEx_6qawtMGysU/edit?usp=sharing"",""สบก!BX70"")"),0)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IFERROR(__xludf.DUMMYFUNCTION("IMPORTRANGE(""https://docs.google.com/spreadsheets/d/1Yj_ptqi66GCucihVvJfMjLAmec39IyEx_6qawtMGysU/edit?usp=sharing"",""สบก!BY70"")"),0)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IFERROR(__xludf.DUMMYFUNCTION("IMPORTRANGE(""https://docs.google.com/spreadsheets/d/1Yj_ptqi66GCucihVvJfMjLAmec39IyEx_6qawtMGysU/edit?usp=sharing"",""สบก!BZ70"")"),0)</f>
        <v>0</v>
      </c>
      <c r="M258" s="49"/>
      <c r="N258" s="49">
        <f ca="1">IFERROR(__xludf.DUMMYFUNCTION("IMPORTRANGE(""https://docs.google.com/spreadsheets/d/1Yj_ptqi66GCucihVvJfMjLAmec39IyEx_6qawtMGysU/edit?usp=sharing"",""สบก!CD70"")"),0)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IFERROR(__xludf.DUMMYFUNCTION("IMPORTRANGE(""https://docs.google.com/spreadsheets/d/1SX6NBoVAgQJ6U1MVXOaj8PK2l7WJ3RER9xtqwdhxkhw/edit?usp=sharing"",""พระนครศรีอยุธยา!J175"")"),0)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IFERROR(__xludf.DUMMYFUNCTION("IMPORTRANGE(""https://docs.google.com/spreadsheets/d/1SX6NBoVAgQJ6U1MVXOaj8PK2l7WJ3RER9xtqwdhxkhw/edit?usp=sharing"",""พระนครศรีอยุธยา!J176"")"),0)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IFERROR(__xludf.DUMMYFUNCTION("IMPORTRANGE(""https://docs.google.com/spreadsheets/d/1SX6NBoVAgQJ6U1MVXOaj8PK2l7WJ3RER9xtqwdhxkhw/edit?usp=sharing"",""พระนครศรีอยุธยา!J177"")"),0)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IFERROR(__xludf.DUMMYFUNCTION("IMPORTRANGE(""https://docs.google.com/spreadsheets/d/1SX6NBoVAgQJ6U1MVXOaj8PK2l7WJ3RER9xtqwdhxkhw/edit?usp=sharing"",""พระนครศรีอยุธยา!J178"")"),0)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IFERROR(__xludf.DUMMYFUNCTION("IMPORTRANGE(""https://docs.google.com/spreadsheets/d/1SX6NBoVAgQJ6U1MVXOaj8PK2l7WJ3RER9xtqwdhxkhw/edit?usp=sharing"",""พระนครศรีอยุธยา!I179"")"),0)</f>
        <v>0</v>
      </c>
      <c r="J264" s="189">
        <f ca="1">IFERROR(__xludf.DUMMYFUNCTION("IMPORTRANGE(""https://docs.google.com/spreadsheets/d/1SX6NBoVAgQJ6U1MVXOaj8PK2l7WJ3RER9xtqwdhxkhw/edit?usp=sharing"",""พระนครศรีอยุธยา!J179"")"),0)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IFERROR(__xludf.DUMMYFUNCTION("IMPORTRANGE(""https://docs.google.com/spreadsheets/d/1SX6NBoVAgQJ6U1MVXOaj8PK2l7WJ3RER9xtqwdhxkhw/edit?usp=sharing"",""พระนครศรีอยุธยา!I180"")"),0)</f>
        <v>0</v>
      </c>
      <c r="J265" s="189">
        <f ca="1">IFERROR(__xludf.DUMMYFUNCTION("IMPORTRANGE(""https://docs.google.com/spreadsheets/d/1SX6NBoVAgQJ6U1MVXOaj8PK2l7WJ3RER9xtqwdhxkhw/edit?usp=sharing"",""พระนครศรีอยุธยา!J180"")"),0)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IFERROR(__xludf.DUMMYFUNCTION("IMPORTRANGE(""https://docs.google.com/spreadsheets/d/1SX6NBoVAgQJ6U1MVXOaj8PK2l7WJ3RER9xtqwdhxkhw/edit?usp=sharing"",""พระนครศรีอยุธยา!I181"")"),0)</f>
        <v>0</v>
      </c>
      <c r="J266" s="189">
        <f ca="1">IFERROR(__xludf.DUMMYFUNCTION("IMPORTRANGE(""https://docs.google.com/spreadsheets/d/1SX6NBoVAgQJ6U1MVXOaj8PK2l7WJ3RER9xtqwdhxkhw/edit?usp=sharing"",""พระนครศรีอยุธยา!J181"")"),0)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IFERROR(__xludf.DUMMYFUNCTION("IMPORTRANGE(""https://docs.google.com/spreadsheets/d/1SX6NBoVAgQJ6U1MVXOaj8PK2l7WJ3RER9xtqwdhxkhw/edit?usp=sharing"",""พระนครศรีอยุธยา!I182"")"),0)</f>
        <v>0</v>
      </c>
      <c r="J267" s="189">
        <f ca="1">IFERROR(__xludf.DUMMYFUNCTION("IMPORTRANGE(""https://docs.google.com/spreadsheets/d/1SX6NBoVAgQJ6U1MVXOaj8PK2l7WJ3RER9xtqwdhxkhw/edit?usp=sharing"",""พระนครศรีอยุธยา!J182"")"),0)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IFERROR(__xludf.DUMMYFUNCTION("IMPORTRANGE(""https://docs.google.com/spreadsheets/d/1SX6NBoVAgQJ6U1MVXOaj8PK2l7WJ3RER9xtqwdhxkhw/edit?usp=sharing"",""พระนครศรีอยุธยา!J183"")"),0)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IFERROR(__xludf.DUMMYFUNCTION("IMPORTRANGE(""https://docs.google.com/spreadsheets/d/1SX6NBoVAgQJ6U1MVXOaj8PK2l7WJ3RER9xtqwdhxkhw/edit?usp=sharing"",""พระนครศรีอยุธยา!J184"")"),0)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IFERROR(__xludf.DUMMYFUNCTION("IMPORTRANGE(""https://docs.google.com/spreadsheets/d/1SX6NBoVAgQJ6U1MVXOaj8PK2l7WJ3RER9xtqwdhxkhw/edit?usp=sharing"",""พระนครศรีอยุธยา!I185"")"),0)</f>
        <v>0</v>
      </c>
      <c r="J270" s="316">
        <f ca="1">IFERROR(__xludf.DUMMYFUNCTION("IMPORTRANGE(""https://docs.google.com/spreadsheets/d/1SX6NBoVAgQJ6U1MVXOaj8PK2l7WJ3RER9xtqwdhxkhw/edit?usp=sharing"",""พระนครศรีอยุธยา!J185"")"),0)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IFERROR(__xludf.DUMMYFUNCTION("IMPORTRANGE(""https://docs.google.com/spreadsheets/d/1Yj_ptqi66GCucihVvJfMjLAmec39IyEx_6qawtMGysU/edit?usp=sharing"",""สบก!CK70"")"),0)</f>
        <v>0</v>
      </c>
      <c r="N275" s="169">
        <f ca="1">IFERROR(__xludf.DUMMYFUNCTION("IMPORTRANGE(""https://docs.google.com/spreadsheets/d/1Yj_ptqi66GCucihVvJfMjLAmec39IyEx_6qawtMGysU/edit?usp=sharing"",""สบก!CL70"")"),0)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IFERROR(__xludf.DUMMYFUNCTION("IMPORTRANGE(""https://docs.google.com/spreadsheets/d/1Yj_ptqi66GCucihVvJfMjLAmec39IyEx_6qawtMGysU/edit?usp=sharing"",""สบก!CG70"")"),0)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IFERROR(__xludf.DUMMYFUNCTION("IMPORTRANGE(""https://docs.google.com/spreadsheets/d/1Yj_ptqi66GCucihVvJfMjLAmec39IyEx_6qawtMGysU/edit?usp=sharing"",""สบก!CH70"")"),0)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IFERROR(__xludf.DUMMYFUNCTION("IMPORTRANGE(""https://docs.google.com/spreadsheets/d/1Yj_ptqi66GCucihVvJfMjLAmec39IyEx_6qawtMGysU/edit?usp=sharing"",""สบก!CI70"")"),0)</f>
        <v>0</v>
      </c>
      <c r="M279" s="49"/>
      <c r="N279" s="49">
        <f ca="1">IFERROR(__xludf.DUMMYFUNCTION("IMPORTRANGE(""https://docs.google.com/spreadsheets/d/1Yj_ptqi66GCucihVvJfMjLAmec39IyEx_6qawtMGysU/edit?usp=sharing"",""สบก!CM70"")"),0)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IFERROR(__xludf.DUMMYFUNCTION("IMPORTRANGE(""https://docs.google.com/spreadsheets/d/1SX6NBoVAgQJ6U1MVXOaj8PK2l7WJ3RER9xtqwdhxkhw/edit?usp=sharing"",""พระนครศรีอยุธยา!J191"")"),0)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IFERROR(__xludf.DUMMYFUNCTION("IMPORTRANGE(""https://docs.google.com/spreadsheets/d/1SX6NBoVAgQJ6U1MVXOaj8PK2l7WJ3RER9xtqwdhxkhw/edit?usp=sharing"",""พระนครศรีอยุธยา!J192"")"),0)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IFERROR(__xludf.DUMMYFUNCTION("IMPORTRANGE(""https://docs.google.com/spreadsheets/d/1SX6NBoVAgQJ6U1MVXOaj8PK2l7WJ3RER9xtqwdhxkhw/edit?usp=sharing"",""พระนครศรีอยุธยา!J193"")"),0)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IFERROR(__xludf.DUMMYFUNCTION("IMPORTRANGE(""https://docs.google.com/spreadsheets/d/1SX6NBoVAgQJ6U1MVXOaj8PK2l7WJ3RER9xtqwdhxkhw/edit?usp=sharing"",""พระนครศรีอยุธยา!J194"")"),0)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IFERROR(__xludf.DUMMYFUNCTION("IMPORTRANGE(""https://docs.google.com/spreadsheets/d/1SX6NBoVAgQJ6U1MVXOaj8PK2l7WJ3RER9xtqwdhxkhw/edit?usp=sharing"",""พระนครศรีอยุธยา!I195"")"),0)</f>
        <v>0</v>
      </c>
      <c r="J285" s="189">
        <f ca="1">IFERROR(__xludf.DUMMYFUNCTION("IMPORTRANGE(""https://docs.google.com/spreadsheets/d/1SX6NBoVAgQJ6U1MVXOaj8PK2l7WJ3RER9xtqwdhxkhw/edit?usp=sharing"",""พระนครศรีอยุธยา!J195"")"),0)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IFERROR(__xludf.DUMMYFUNCTION("IMPORTRANGE(""https://docs.google.com/spreadsheets/d/1SX6NBoVAgQJ6U1MVXOaj8PK2l7WJ3RER9xtqwdhxkhw/edit?usp=sharing"",""พระนครศรีอยุธยา!J196"")"),0)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IFERROR(__xludf.DUMMYFUNCTION("IMPORTRANGE(""https://docs.google.com/spreadsheets/d/1SX6NBoVAgQJ6U1MVXOaj8PK2l7WJ3RER9xtqwdhxkhw/edit?usp=sharing"",""พระนครศรีอยุธยา!J197"")"),0)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IFERROR(__xludf.DUMMYFUNCTION("IMPORTRANGE(""https://docs.google.com/spreadsheets/d/1SX6NBoVAgQJ6U1MVXOaj8PK2l7WJ3RER9xtqwdhxkhw/edit?usp=sharing"",""พระนครศรีอยุธยา!I199"")"),0)</f>
        <v>0</v>
      </c>
      <c r="J289" s="316">
        <f ca="1">IFERROR(__xludf.DUMMYFUNCTION("IMPORTRANGE(""https://docs.google.com/spreadsheets/d/1SX6NBoVAgQJ6U1MVXOaj8PK2l7WJ3RER9xtqwdhxkhw/edit?usp=sharing"",""พระนครศรีอยุธยา!J199"")"),0)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IFERROR(__xludf.DUMMYFUNCTION("IMPORTRANGE(""https://docs.google.com/spreadsheets/d/1Yj_ptqi66GCucihVvJfMjLAmec39IyEx_6qawtMGysU/edit?usp=sharing"",""สบก!CT70"")"),0)</f>
        <v>0</v>
      </c>
      <c r="N294" s="169">
        <f ca="1">IFERROR(__xludf.DUMMYFUNCTION("IMPORTRANGE(""https://docs.google.com/spreadsheets/d/1Yj_ptqi66GCucihVvJfMjLAmec39IyEx_6qawtMGysU/edit?usp=sharing"",""สบก!CU70"")"),0)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IFERROR(__xludf.DUMMYFUNCTION("IMPORTRANGE(""https://docs.google.com/spreadsheets/d/1Yj_ptqi66GCucihVvJfMjLAmec39IyEx_6qawtMGysU/edit?usp=sharing"",""สบก!CP70"")"),0)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IFERROR(__xludf.DUMMYFUNCTION("IMPORTRANGE(""https://docs.google.com/spreadsheets/d/1Yj_ptqi66GCucihVvJfMjLAmec39IyEx_6qawtMGysU/edit?usp=sharing"",""สบก!CQ70"")"),0)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IFERROR(__xludf.DUMMYFUNCTION("IMPORTRANGE(""https://docs.google.com/spreadsheets/d/1Yj_ptqi66GCucihVvJfMjLAmec39IyEx_6qawtMGysU/edit?usp=sharing"",""สบก!CR70"")"),0)</f>
        <v>0</v>
      </c>
      <c r="M298" s="49"/>
      <c r="N298" s="49">
        <f ca="1">IFERROR(__xludf.DUMMYFUNCTION("IMPORTRANGE(""https://docs.google.com/spreadsheets/d/1Yj_ptqi66GCucihVvJfMjLAmec39IyEx_6qawtMGysU/edit?usp=sharing"",""สบก!CV70"")"),0)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IFERROR(__xludf.DUMMYFUNCTION("IMPORTRANGE(""https://docs.google.com/spreadsheets/d/1SX6NBoVAgQJ6U1MVXOaj8PK2l7WJ3RER9xtqwdhxkhw/edit?usp=sharing"",""พระนครศรีอยุธยา!J205"")"),0)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IFERROR(__xludf.DUMMYFUNCTION("IMPORTRANGE(""https://docs.google.com/spreadsheets/d/1SX6NBoVAgQJ6U1MVXOaj8PK2l7WJ3RER9xtqwdhxkhw/edit?usp=sharing"",""พระนครศรีอยุธยา!J206"")"),0)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IFERROR(__xludf.DUMMYFUNCTION("IMPORTRANGE(""https://docs.google.com/spreadsheets/d/1SX6NBoVAgQJ6U1MVXOaj8PK2l7WJ3RER9xtqwdhxkhw/edit?usp=sharing"",""พระนครศรีอยุธยา!J207"")"),0)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IFERROR(__xludf.DUMMYFUNCTION("IMPORTRANGE(""https://docs.google.com/spreadsheets/d/1SX6NBoVAgQJ6U1MVXOaj8PK2l7WJ3RER9xtqwdhxkhw/edit?usp=sharing"",""พระนครศรีอยุธยา!J208"")"),0)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IFERROR(__xludf.DUMMYFUNCTION("IMPORTRANGE(""https://docs.google.com/spreadsheets/d/1SX6NBoVAgQJ6U1MVXOaj8PK2l7WJ3RER9xtqwdhxkhw/edit?usp=sharing"",""พระนครศรีอยุธยา!I209"")"),0)</f>
        <v>0</v>
      </c>
      <c r="J304" s="204">
        <f ca="1">IFERROR(__xludf.DUMMYFUNCTION("IMPORTRANGE(""https://docs.google.com/spreadsheets/d/1SX6NBoVAgQJ6U1MVXOaj8PK2l7WJ3RER9xtqwdhxkhw/edit?usp=sharing"",""พระนครศรีอยุธยา!J209"")"),0)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IFERROR(__xludf.DUMMYFUNCTION("IMPORTRANGE(""https://docs.google.com/spreadsheets/d/1SX6NBoVAgQJ6U1MVXOaj8PK2l7WJ3RER9xtqwdhxkhw/edit?usp=sharing"",""พระนครศรีอยุธยา!I211"")"),0)</f>
        <v>0</v>
      </c>
      <c r="J306" s="204">
        <f ca="1">IFERROR(__xludf.DUMMYFUNCTION("IMPORTRANGE(""https://docs.google.com/spreadsheets/d/1SX6NBoVAgQJ6U1MVXOaj8PK2l7WJ3RER9xtqwdhxkhw/edit?usp=sharing"",""พระนครศรีอยุธยา!J211"")"),0)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IFERROR(__xludf.DUMMYFUNCTION("IMPORTRANGE(""https://docs.google.com/spreadsheets/d/1SX6NBoVAgQJ6U1MVXOaj8PK2l7WJ3RER9xtqwdhxkhw/edit?usp=sharing"",""พระนครศรีอยุธยา!J212"")"),0)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IFERROR(__xludf.DUMMYFUNCTION("IMPORTRANGE(""https://docs.google.com/spreadsheets/d/1SX6NBoVAgQJ6U1MVXOaj8PK2l7WJ3RER9xtqwdhxkhw/edit?usp=sharing"",""พระนครศรีอยุธยา!J213"")"),0)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IFERROR(__xludf.DUMMYFUNCTION("IMPORTRANGE(""https://docs.google.com/spreadsheets/d/1SX6NBoVAgQJ6U1MVXOaj8PK2l7WJ3RER9xtqwdhxkhw/edit?usp=sharing"",""พระนครศรีอยุธยา!I214"")"),0)</f>
        <v>0</v>
      </c>
      <c r="J309" s="333">
        <f ca="1">IFERROR(__xludf.DUMMYFUNCTION("IMPORTRANGE(""https://docs.google.com/spreadsheets/d/1SX6NBoVAgQJ6U1MVXOaj8PK2l7WJ3RER9xtqwdhxkhw/edit?usp=sharing"",""พระนครศรีอยุธยา!J214"")"),0)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IFERROR(__xludf.DUMMYFUNCTION("IMPORTRANGE(""https://docs.google.com/spreadsheets/d/1Yj_ptqi66GCucihVvJfMjLAmec39IyEx_6qawtMGysU/edit?usp=sharing"",""สบก!DC70"")"),0)</f>
        <v>0</v>
      </c>
      <c r="N314" s="169">
        <f ca="1">IFERROR(__xludf.DUMMYFUNCTION("IMPORTRANGE(""https://docs.google.com/spreadsheets/d/1Yj_ptqi66GCucihVvJfMjLAmec39IyEx_6qawtMGysU/edit?usp=sharing"",""สบก!DD70"")"),0)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IFERROR(__xludf.DUMMYFUNCTION("IMPORTRANGE(""https://docs.google.com/spreadsheets/d/1Yj_ptqi66GCucihVvJfMjLAmec39IyEx_6qawtMGysU/edit?usp=sharing"",""สบก!CY70"")"),0)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IFERROR(__xludf.DUMMYFUNCTION("IMPORTRANGE(""https://docs.google.com/spreadsheets/d/1Yj_ptqi66GCucihVvJfMjLAmec39IyEx_6qawtMGysU/edit?usp=sharing"",""สบก!CZ70"")"),0)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IFERROR(__xludf.DUMMYFUNCTION("IMPORTRANGE(""https://docs.google.com/spreadsheets/d/1Yj_ptqi66GCucihVvJfMjLAmec39IyEx_6qawtMGysU/edit?usp=sharing"",""สบก!DA70"")"),0)</f>
        <v>0</v>
      </c>
      <c r="M318" s="49"/>
      <c r="N318" s="49">
        <f ca="1">IFERROR(__xludf.DUMMYFUNCTION("IMPORTRANGE(""https://docs.google.com/spreadsheets/d/1Yj_ptqi66GCucihVvJfMjLAmec39IyEx_6qawtMGysU/edit?usp=sharing"",""สบก!DE70"")"),0)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IFERROR(__xludf.DUMMYFUNCTION("IMPORTRANGE(""https://docs.google.com/spreadsheets/d/1SX6NBoVAgQJ6U1MVXOaj8PK2l7WJ3RER9xtqwdhxkhw/edit?usp=sharing"",""พระนครศรีอยุธยา!J220"")"),0)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IFERROR(__xludf.DUMMYFUNCTION("IMPORTRANGE(""https://docs.google.com/spreadsheets/d/1SX6NBoVAgQJ6U1MVXOaj8PK2l7WJ3RER9xtqwdhxkhw/edit?usp=sharing"",""พระนครศรีอยุธยา!J221"")"),0)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IFERROR(__xludf.DUMMYFUNCTION("IMPORTRANGE(""https://docs.google.com/spreadsheets/d/1SX6NBoVAgQJ6U1MVXOaj8PK2l7WJ3RER9xtqwdhxkhw/edit?usp=sharing"",""พระนครศรีอยุธยา!J222"")"),0)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IFERROR(__xludf.DUMMYFUNCTION("IMPORTRANGE(""https://docs.google.com/spreadsheets/d/1SX6NBoVAgQJ6U1MVXOaj8PK2l7WJ3RER9xtqwdhxkhw/edit?usp=sharing"",""พระนครศรีอยุธยา!J223"")"),0)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IFERROR(__xludf.DUMMYFUNCTION("IMPORTRANGE(""https://docs.google.com/spreadsheets/d/1SX6NBoVAgQJ6U1MVXOaj8PK2l7WJ3RER9xtqwdhxkhw/edit?usp=sharing"",""พระนครศรีอยุธยา!I224"")"),0)</f>
        <v>0</v>
      </c>
      <c r="J324" s="204">
        <f ca="1">IFERROR(__xludf.DUMMYFUNCTION("IMPORTRANGE(""https://docs.google.com/spreadsheets/d/1SX6NBoVAgQJ6U1MVXOaj8PK2l7WJ3RER9xtqwdhxkhw/edit?usp=sharing"",""พระนครศรีอยุธยา!J224"")"),0)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IFERROR(__xludf.DUMMYFUNCTION("IMPORTRANGE(""https://docs.google.com/spreadsheets/d/1SX6NBoVAgQJ6U1MVXOaj8PK2l7WJ3RER9xtqwdhxkhw/edit?usp=sharing"",""พระนครศรีอยุธยา!J225"")"),0)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IFERROR(__xludf.DUMMYFUNCTION("IMPORTRANGE(""https://docs.google.com/spreadsheets/d/1SX6NBoVAgQJ6U1MVXOaj8PK2l7WJ3RER9xtqwdhxkhw/edit?usp=sharing"",""พระนครศรีอยุธยา!J226"")"),0)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IFERROR(__xludf.DUMMYFUNCTION("IMPORTRANGE(""https://docs.google.com/spreadsheets/d/1SX6NBoVAgQJ6U1MVXOaj8PK2l7WJ3RER9xtqwdhxkhw/edit?usp=sharing"",""พระนครศรีอยุธยา!I228"")"),0)</f>
        <v>0</v>
      </c>
      <c r="J328" s="339">
        <f ca="1">IFERROR(__xludf.DUMMYFUNCTION("IMPORTRANGE(""https://docs.google.com/spreadsheets/d/1SX6NBoVAgQJ6U1MVXOaj8PK2l7WJ3RER9xtqwdhxkhw/edit?usp=sharing"",""พระนครศรีอยุธยา!J228"")"),0)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539310</v>
      </c>
      <c r="M329" s="152">
        <f t="shared" ca="1" si="98"/>
        <v>407760</v>
      </c>
      <c r="N329" s="152">
        <f t="shared" ca="1" si="98"/>
        <v>294523.16000000003</v>
      </c>
      <c r="O329" s="151">
        <f t="shared" ref="O329:O331" ca="1" si="99">IF(L329&gt;0,N329*100/L329,0)</f>
        <v>54.611106784595137</v>
      </c>
      <c r="P329" s="151">
        <f t="shared" ref="P329:P331" ca="1" si="100">IF(M329&gt;0,N329*100/M329,0)</f>
        <v>72.229536982538761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539310</v>
      </c>
      <c r="M331" s="157">
        <f t="shared" ca="1" si="102"/>
        <v>407760</v>
      </c>
      <c r="N331" s="157">
        <f t="shared" ca="1" si="102"/>
        <v>294523.16000000003</v>
      </c>
      <c r="O331" s="156">
        <f t="shared" ca="1" si="99"/>
        <v>54.611106784595137</v>
      </c>
      <c r="P331" s="156">
        <f t="shared" ca="1" si="100"/>
        <v>72.229536982538761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IFERROR(__xludf.DUMMYFUNCTION("IMPORTRANGE(""https://docs.google.com/spreadsheets/d/1Yj_ptqi66GCucihVvJfMjLAmec39IyEx_6qawtMGysU/edit?usp=sharing"",""สบก!DL70"")"),354560)</f>
        <v>354560</v>
      </c>
      <c r="N333" s="169">
        <f ca="1">IFERROR(__xludf.DUMMYFUNCTION("IMPORTRANGE(""https://docs.google.com/spreadsheets/d/1Yj_ptqi66GCucihVvJfMjLAmec39IyEx_6qawtMGysU/edit?usp=sharing"",""สบก!DM70"")"),241323.16)</f>
        <v>241323.16</v>
      </c>
      <c r="O333" s="169">
        <f ca="1">IF(L333&gt;0,N333*100/L333,0)</f>
        <v>49.643734957108471</v>
      </c>
      <c r="P333" s="169">
        <f ca="1">IF(M333&gt;0,N333*100/M333,0)</f>
        <v>68.062714350180499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IFERROR(__xludf.DUMMYFUNCTION("IMPORTRANGE(""https://docs.google.com/spreadsheets/d/1Yj_ptqi66GCucihVvJfMjLAmec39IyEx_6qawtMGysU/edit?usp=sharing"",""สบก!DH70"")"),306000)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IFERROR(__xludf.DUMMYFUNCTION("IMPORTRANGE(""https://docs.google.com/spreadsheets/d/1Yj_ptqi66GCucihVvJfMjLAmec39IyEx_6qawtMGysU/edit?usp=sharing"",""สบก!DI70"")"),180110)</f>
        <v>180110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IFERROR(__xludf.DUMMYFUNCTION("IMPORTRANGE(""https://docs.google.com/spreadsheets/d/1Yj_ptqi66GCucihVvJfMjLAmec39IyEx_6qawtMGysU/edit?usp=sharing"",""สบก!DJ70"")"),53200)</f>
        <v>53200</v>
      </c>
      <c r="M337" s="49">
        <f ca="1">L337</f>
        <v>53200</v>
      </c>
      <c r="N337" s="49">
        <f ca="1">IFERROR(__xludf.DUMMYFUNCTION("IMPORTRANGE(""https://docs.google.com/spreadsheets/d/1Yj_ptqi66GCucihVvJfMjLAmec39IyEx_6qawtMGysU/edit?usp=sharing"",""สบก!DN70"")"),53200)</f>
        <v>53200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IFERROR(__xludf.DUMMYFUNCTION("IMPORTRANGE(""https://docs.google.com/spreadsheets/d/1SX6NBoVAgQJ6U1MVXOaj8PK2l7WJ3RER9xtqwdhxkhw/edit?usp=sharing"",""พระนครศรีอยุธยา!I234"")"),0)</f>
        <v>0</v>
      </c>
      <c r="J339" s="188">
        <f ca="1">IFERROR(__xludf.DUMMYFUNCTION("IMPORTRANGE(""https://docs.google.com/spreadsheets/d/1SX6NBoVAgQJ6U1MVXOaj8PK2l7WJ3RER9xtqwdhxkhw/edit?usp=sharing"",""พระนครศรีอยุธยา!J234"")"),0)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IFERROR(__xludf.DUMMYFUNCTION("IMPORTRANGE(""https://docs.google.com/spreadsheets/d/1SX6NBoVAgQJ6U1MVXOaj8PK2l7WJ3RER9xtqwdhxkhw/edit?usp=sharing"",""พระนครศรีอยุธยา!I235"")"),0)</f>
        <v>0</v>
      </c>
      <c r="J340" s="188">
        <f ca="1">IFERROR(__xludf.DUMMYFUNCTION("IMPORTRANGE(""https://docs.google.com/spreadsheets/d/1SX6NBoVAgQJ6U1MVXOaj8PK2l7WJ3RER9xtqwdhxkhw/edit?usp=sharing"",""พระนครศรีอยุธยา!J235"")"),0)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IFERROR(__xludf.DUMMYFUNCTION("IMPORTRANGE(""https://docs.google.com/spreadsheets/d/1SX6NBoVAgQJ6U1MVXOaj8PK2l7WJ3RER9xtqwdhxkhw/edit?usp=sharing"",""พระนครศรีอยุธยา!I236"")"),0)</f>
        <v>0</v>
      </c>
      <c r="J341" s="188">
        <f ca="1">IFERROR(__xludf.DUMMYFUNCTION("IMPORTRANGE(""https://docs.google.com/spreadsheets/d/1SX6NBoVAgQJ6U1MVXOaj8PK2l7WJ3RER9xtqwdhxkhw/edit?usp=sharing"",""พระนครศรีอยุธยา!J236"")"),0)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IFERROR(__xludf.DUMMYFUNCTION("IMPORTRANGE(""https://docs.google.com/spreadsheets/d/1SX6NBoVAgQJ6U1MVXOaj8PK2l7WJ3RER9xtqwdhxkhw/edit?usp=sharing"",""พระนครศรีอยุธยา!I237"")"),0)</f>
        <v>0</v>
      </c>
      <c r="J342" s="188">
        <f ca="1">IFERROR(__xludf.DUMMYFUNCTION("IMPORTRANGE(""https://docs.google.com/spreadsheets/d/1SX6NBoVAgQJ6U1MVXOaj8PK2l7WJ3RER9xtqwdhxkhw/edit?usp=sharing"",""พระนครศรีอยุธยา!J237"")"),0)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IFERROR(__xludf.DUMMYFUNCTION("IMPORTRANGE(""https://docs.google.com/spreadsheets/d/1SX6NBoVAgQJ6U1MVXOaj8PK2l7WJ3RER9xtqwdhxkhw/edit?usp=sharing"",""พระนครศรีอยุธยา!I238"")"),0)</f>
        <v>0</v>
      </c>
      <c r="J343" s="188">
        <f ca="1">IFERROR(__xludf.DUMMYFUNCTION("IMPORTRANGE(""https://docs.google.com/spreadsheets/d/1SX6NBoVAgQJ6U1MVXOaj8PK2l7WJ3RER9xtqwdhxkhw/edit?usp=sharing"",""พระนครศรีอยุธยา!J238"")"),0)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IFERROR(__xludf.DUMMYFUNCTION("IMPORTRANGE(""https://docs.google.com/spreadsheets/d/1SX6NBoVAgQJ6U1MVXOaj8PK2l7WJ3RER9xtqwdhxkhw/edit?usp=sharing"",""พระนครศรีอยุธยา!I239"")"),0)</f>
        <v>0</v>
      </c>
      <c r="J344" s="188">
        <f ca="1">IFERROR(__xludf.DUMMYFUNCTION("IMPORTRANGE(""https://docs.google.com/spreadsheets/d/1SX6NBoVAgQJ6U1MVXOaj8PK2l7WJ3RER9xtqwdhxkhw/edit?usp=sharing"",""พระนครศรีอยุธยา!J239"")"),0)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IFERROR(__xludf.DUMMYFUNCTION("IMPORTRANGE(""https://docs.google.com/spreadsheets/d/1SX6NBoVAgQJ6U1MVXOaj8PK2l7WJ3RER9xtqwdhxkhw/edit?usp=sharing"",""พระนครศรีอยุธยา!I240"")"),0)</f>
        <v>0</v>
      </c>
      <c r="J345" s="188">
        <f ca="1">IFERROR(__xludf.DUMMYFUNCTION("IMPORTRANGE(""https://docs.google.com/spreadsheets/d/1SX6NBoVAgQJ6U1MVXOaj8PK2l7WJ3RER9xtqwdhxkhw/edit?usp=sharing"",""พระนครศรีอยุธยา!J240"")"),0)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IFERROR(__xludf.DUMMYFUNCTION("IMPORTRANGE(""https://docs.google.com/spreadsheets/d/1SX6NBoVAgQJ6U1MVXOaj8PK2l7WJ3RER9xtqwdhxkhw/edit?usp=sharing"",""พระนครศรีอยุธยา!I241"")"),0)</f>
        <v>0</v>
      </c>
      <c r="J346" s="188">
        <f ca="1">IFERROR(__xludf.DUMMYFUNCTION("IMPORTRANGE(""https://docs.google.com/spreadsheets/d/1SX6NBoVAgQJ6U1MVXOaj8PK2l7WJ3RER9xtqwdhxkhw/edit?usp=sharing"",""พระนครศรีอยุธยา!J241"")"),0)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IFERROR(__xludf.DUMMYFUNCTION("IMPORTRANGE(""https://docs.google.com/spreadsheets/d/1SX6NBoVAgQJ6U1MVXOaj8PK2l7WJ3RER9xtqwdhxkhw/edit?usp=sharing"",""พระนครศรีอยุธยา!L242"")"),618847)</f>
        <v>618847</v>
      </c>
      <c r="M347" s="358"/>
      <c r="N347" s="358">
        <f ca="1">IFERROR(__xludf.DUMMYFUNCTION("IMPORTRANGE(""https://docs.google.com/spreadsheets/d/1SX6NBoVAgQJ6U1MVXOaj8PK2l7WJ3RER9xtqwdhxkhw/edit?usp=sharing"",""พระนครศรีอยุธยา!M242"")"),284113.8)</f>
        <v>284113.8</v>
      </c>
      <c r="O347" s="358">
        <f ca="1">+IF(L347&gt;0,N347*100/L347,0)</f>
        <v>45.910184585204419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IFERROR(__xludf.DUMMYFUNCTION("IMPORTRANGE(""https://docs.google.com/spreadsheets/d/1SX6NBoVAgQJ6U1MVXOaj8PK2l7WJ3RER9xtqwdhxkhw/edit?usp=sharing"",""พระนครศรีอยุธยา!I244"")"),0)</f>
        <v>0</v>
      </c>
      <c r="J349" s="371">
        <f ca="1">IFERROR(__xludf.DUMMYFUNCTION("IMPORTRANGE(""https://docs.google.com/spreadsheets/d/1SX6NBoVAgQJ6U1MVXOaj8PK2l7WJ3RER9xtqwdhxkhw/edit?usp=sharing"",""พระนครศรีอยุธยา!J244"")"),0)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IFERROR(__xludf.DUMMYFUNCTION("IMPORTRANGE(""https://docs.google.com/spreadsheets/d/1SX6NBoVAgQJ6U1MVXOaj8PK2l7WJ3RER9xtqwdhxkhw/edit?usp=sharing"",""พระนครศรีอยุธยา!L244"")"),0)</f>
        <v>0</v>
      </c>
      <c r="M349" s="373"/>
      <c r="N349" s="373">
        <f ca="1">IFERROR(__xludf.DUMMYFUNCTION("IMPORTRANGE(""https://docs.google.com/spreadsheets/d/1SX6NBoVAgQJ6U1MVXOaj8PK2l7WJ3RER9xtqwdhxkhw/edit?usp=sharing"",""พระนครศรีอยุธยา!M244"")"),0)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IFERROR(__xludf.DUMMYFUNCTION("IMPORTRANGE(""https://docs.google.com/spreadsheets/d/1SX6NBoVAgQJ6U1MVXOaj8PK2l7WJ3RER9xtqwdhxkhw/edit?usp=sharing"",""พระนครศรีอยุธยา!I245"")"),0)</f>
        <v>0</v>
      </c>
      <c r="J350" s="371">
        <f ca="1">IFERROR(__xludf.DUMMYFUNCTION("IMPORTRANGE(""https://docs.google.com/spreadsheets/d/1SX6NBoVAgQJ6U1MVXOaj8PK2l7WJ3RER9xtqwdhxkhw/edit?usp=sharing"",""พระนครศรีอยุธยา!J245"")"),0)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IFERROR(__xludf.DUMMYFUNCTION("IMPORTRANGE(""https://docs.google.com/spreadsheets/d/1SX6NBoVAgQJ6U1MVXOaj8PK2l7WJ3RER9xtqwdhxkhw/edit?usp=sharing"",""พระนครศรีอยุธยา!L246"")"),0)</f>
        <v>0</v>
      </c>
      <c r="M351" s="164"/>
      <c r="N351" s="164">
        <f ca="1">IFERROR(__xludf.DUMMYFUNCTION("IMPORTRANGE(""https://docs.google.com/spreadsheets/d/1SX6NBoVAgQJ6U1MVXOaj8PK2l7WJ3RER9xtqwdhxkhw/edit?usp=sharing"",""พระนครศรีอยุธยา!M246"")"),0)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IFERROR(__xludf.DUMMYFUNCTION("IMPORTRANGE(""https://docs.google.com/spreadsheets/d/1SX6NBoVAgQJ6U1MVXOaj8PK2l7WJ3RER9xtqwdhxkhw/edit?usp=sharing"",""พระนครศรีอยุธยา!L247"")"),0)</f>
        <v>0</v>
      </c>
      <c r="M352" s="165"/>
      <c r="N352" s="164">
        <f ca="1">IFERROR(__xludf.DUMMYFUNCTION("IMPORTRANGE(""https://docs.google.com/spreadsheets/d/1SX6NBoVAgQJ6U1MVXOaj8PK2l7WJ3RER9xtqwdhxkhw/edit?usp=sharing"",""พระนครศรีอยุธยา!M247"")"),0)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IFERROR(__xludf.DUMMYFUNCTION("IMPORTRANGE(""https://docs.google.com/spreadsheets/d/1SX6NBoVAgQJ6U1MVXOaj8PK2l7WJ3RER9xtqwdhxkhw/edit?usp=sharing"",""พระนครศรีอยุธยา!L248"")"),0)</f>
        <v>0</v>
      </c>
      <c r="M353" s="169"/>
      <c r="N353" s="169">
        <f ca="1">IFERROR(__xludf.DUMMYFUNCTION("IMPORTRANGE(""https://docs.google.com/spreadsheets/d/1SX6NBoVAgQJ6U1MVXOaj8PK2l7WJ3RER9xtqwdhxkhw/edit?usp=sharing"",""พระนครศรีอยุธยา!M248"")"),0)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IFERROR(__xludf.DUMMYFUNCTION("IMPORTRANGE(""https://docs.google.com/spreadsheets/d/1SX6NBoVAgQJ6U1MVXOaj8PK2l7WJ3RER9xtqwdhxkhw/edit?usp=sharing"",""พระนครศรีอยุธยา!L249"")"),0)</f>
        <v>0</v>
      </c>
      <c r="M354" s="169"/>
      <c r="N354" s="168">
        <f ca="1">IFERROR(__xludf.DUMMYFUNCTION("IMPORTRANGE(""https://docs.google.com/spreadsheets/d/1SX6NBoVAgQJ6U1MVXOaj8PK2l7WJ3RER9xtqwdhxkhw/edit?usp=sharing"",""พระนครศรีอยุธยา!M249"")"),0)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IFERROR(__xludf.DUMMYFUNCTION("IMPORTRANGE(""https://docs.google.com/spreadsheets/d/1SX6NBoVAgQJ6U1MVXOaj8PK2l7WJ3RER9xtqwdhxkhw/edit?usp=sharing"",""พระนครศรีอยุธยา!M250"")"),0)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IFERROR(__xludf.DUMMYFUNCTION("IMPORTRANGE(""https://docs.google.com/spreadsheets/d/1SX6NBoVAgQJ6U1MVXOaj8PK2l7WJ3RER9xtqwdhxkhw/edit?usp=sharing"",""พระนครศรีอยุธยา!M251"")"),0)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IFERROR(__xludf.DUMMYFUNCTION("IMPORTRANGE(""https://docs.google.com/spreadsheets/d/1SX6NBoVAgQJ6U1MVXOaj8PK2l7WJ3RER9xtqwdhxkhw/edit?usp=sharing"",""พระนครศรีอยุธยา!M252"")"),0)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IFERROR(__xludf.DUMMYFUNCTION("IMPORTRANGE(""https://docs.google.com/spreadsheets/d/1SX6NBoVAgQJ6U1MVXOaj8PK2l7WJ3RER9xtqwdhxkhw/edit?usp=sharing"",""พระนครศรีอยุธยา!M253"")"),0)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IFERROR(__xludf.DUMMYFUNCTION("IMPORTRANGE(""https://docs.google.com/spreadsheets/d/1SX6NBoVAgQJ6U1MVXOaj8PK2l7WJ3RER9xtqwdhxkhw/edit?usp=sharing"",""พระนครศรีอยุธยา!J255"")"),0)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IFERROR(__xludf.DUMMYFUNCTION("IMPORTRANGE(""https://docs.google.com/spreadsheets/d/1SX6NBoVAgQJ6U1MVXOaj8PK2l7WJ3RER9xtqwdhxkhw/edit?usp=sharing"",""พระนครศรีอยุธยา!J256"")"),0)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IFERROR(__xludf.DUMMYFUNCTION("IMPORTRANGE(""https://docs.google.com/spreadsheets/d/1SX6NBoVAgQJ6U1MVXOaj8PK2l7WJ3RER9xtqwdhxkhw/edit?usp=sharing"",""พระนครศรีอยุธยา!J257"")"),0)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IFERROR(__xludf.DUMMYFUNCTION("IMPORTRANGE(""https://docs.google.com/spreadsheets/d/1SX6NBoVAgQJ6U1MVXOaj8PK2l7WJ3RER9xtqwdhxkhw/edit?usp=sharing"",""พระนครศรีอยุธยา!J258"")"),0)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IFERROR(__xludf.DUMMYFUNCTION("IMPORTRANGE(""https://docs.google.com/spreadsheets/d/1SX6NBoVAgQJ6U1MVXOaj8PK2l7WJ3RER9xtqwdhxkhw/edit?usp=sharing"",""พระนครศรีอยุธยา!I263"")"),0)</f>
        <v>0</v>
      </c>
      <c r="J368" s="188">
        <f ca="1">IFERROR(__xludf.DUMMYFUNCTION("IMPORTRANGE(""https://docs.google.com/spreadsheets/d/1SX6NBoVAgQJ6U1MVXOaj8PK2l7WJ3RER9xtqwdhxkhw/edit?usp=sharing"",""พระนครศรีอยุธยา!J263"")"),0)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69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IFERROR(__xludf.DUMMYFUNCTION("IMPORTRANGE(""https://docs.google.com/spreadsheets/d/1SX6NBoVAgQJ6U1MVXOaj8PK2l7WJ3RER9xtqwdhxkhw/edit?usp=sharing"",""พระนครศรีอยุธยา!I265"")"),0)</f>
        <v>0</v>
      </c>
      <c r="J370" s="204">
        <f ca="1">IFERROR(__xludf.DUMMYFUNCTION("IMPORTRANGE(""https://docs.google.com/spreadsheets/d/1SX6NBoVAgQJ6U1MVXOaj8PK2l7WJ3RER9xtqwdhxkhw/edit?usp=sharing"",""พระนครศรีอยุธยา!J265"")"),0)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71" s="189">
        <f ca="1">IFERROR(__xludf.DUMMYFUNCTION("IMPORTRANGE(""https://docs.google.com/spreadsheets/d/1SX6NBoVAgQJ6U1MVXOaj8PK2l7WJ3RER9xtqwdhxkhw/edit?usp=sharing"",""พระนครศรีอยุธยา!J164"")"),0)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IFERROR(__xludf.DUMMYFUNCTION("IMPORTRANGE(""https://docs.google.com/spreadsheets/d/1SX6NBoVAgQJ6U1MVXOaj8PK2l7WJ3RER9xtqwdhxkhw/edit?usp=sharing"",""พระนครศรีอยุธยา!I267"")"),0)</f>
        <v>0</v>
      </c>
      <c r="J372" s="189">
        <f ca="1">IFERROR(__xludf.DUMMYFUNCTION("IMPORTRANGE(""https://docs.google.com/spreadsheets/d/1SX6NBoVAgQJ6U1MVXOaj8PK2l7WJ3RER9xtqwdhxkhw/edit?usp=sharing"",""พระนครศรีอยุธยา!J267"")"),0)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3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IFERROR(__xludf.DUMMYFUNCTION("IMPORTRANGE(""https://docs.google.com/spreadsheets/d/1SX6NBoVAgQJ6U1MVXOaj8PK2l7WJ3RER9xtqwdhxkhw/edit?usp=sharing"",""พระนครศรีอยุธยา!I270"")"),0)</f>
        <v>0</v>
      </c>
      <c r="J375" s="188">
        <f ca="1">IFERROR(__xludf.DUMMYFUNCTION("IMPORTRANGE(""https://docs.google.com/spreadsheets/d/1SX6NBoVAgQJ6U1MVXOaj8PK2l7WJ3RER9xtqwdhxkhw/edit?usp=sharing"",""พระนครศรีอยุธยา!J270"")"),0)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IFERROR(__xludf.DUMMYFUNCTION("IMPORTRANGE(""https://docs.google.com/spreadsheets/d/1SX6NBoVAgQJ6U1MVXOaj8PK2l7WJ3RER9xtqwdhxkhw/edit?usp=sharing"",""พระนครศรีอยุธยา!I271"")"),0)</f>
        <v>0</v>
      </c>
      <c r="J376" s="189">
        <f ca="1">IFERROR(__xludf.DUMMYFUNCTION("IMPORTRANGE(""https://docs.google.com/spreadsheets/d/1SX6NBoVAgQJ6U1MVXOaj8PK2l7WJ3RER9xtqwdhxkhw/edit?usp=sharing"",""พระนครศรีอยุธยา!J271"")"),0)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IFERROR(__xludf.DUMMYFUNCTION("IMPORTRANGE(""https://docs.google.com/spreadsheets/d/1SX6NBoVAgQJ6U1MVXOaj8PK2l7WJ3RER9xtqwdhxkhw/edit?usp=sharing"",""พระนครศรีอยุธยา!I272"")"),0)</f>
        <v>0</v>
      </c>
      <c r="J377" s="204">
        <f ca="1">IFERROR(__xludf.DUMMYFUNCTION("IMPORTRANGE(""https://docs.google.com/spreadsheets/d/1SX6NBoVAgQJ6U1MVXOaj8PK2l7WJ3RER9xtqwdhxkhw/edit?usp=sharing"",""พระนครศรีอยุธยา!J272"")"),0)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IFERROR(__xludf.DUMMYFUNCTION("IMPORTRANGE(""https://docs.google.com/spreadsheets/d/1SX6NBoVAgQJ6U1MVXOaj8PK2l7WJ3RER9xtqwdhxkhw/edit?usp=sharing"",""พระนครศรีอยุธยา!J273"")"),0)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IFERROR(__xludf.DUMMYFUNCTION("IMPORTRANGE(""https://docs.google.com/spreadsheets/d/1SX6NBoVAgQJ6U1MVXOaj8PK2l7WJ3RER9xtqwdhxkhw/edit?usp=sharing"",""พระนครศรีอยุธยา!J274"")"),0)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IFERROR(__xludf.DUMMYFUNCTION("IMPORTRANGE(""https://docs.google.com/spreadsheets/d/1SX6NBoVAgQJ6U1MVXOaj8PK2l7WJ3RER9xtqwdhxkhw/edit?usp=sharing"",""พระนครศรีอยุธยา!I275"")"),0)</f>
        <v>0</v>
      </c>
      <c r="J380" s="371">
        <f ca="1">IFERROR(__xludf.DUMMYFUNCTION("IMPORTRANGE(""https://docs.google.com/spreadsheets/d/1SX6NBoVAgQJ6U1MVXOaj8PK2l7WJ3RER9xtqwdhxkhw/edit?usp=sharing"",""พระนครศรีอยุธยา!J275"")"),0)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IFERROR(__xludf.DUMMYFUNCTION("IMPORTRANGE(""https://docs.google.com/spreadsheets/d/1SX6NBoVAgQJ6U1MVXOaj8PK2l7WJ3RER9xtqwdhxkhw/edit?usp=sharing"",""พระนครศรีอยุธยา!L275"")"),0)</f>
        <v>0</v>
      </c>
      <c r="M380" s="373"/>
      <c r="N380" s="373">
        <f ca="1">IFERROR(__xludf.DUMMYFUNCTION("IMPORTRANGE(""https://docs.google.com/spreadsheets/d/1SX6NBoVAgQJ6U1MVXOaj8PK2l7WJ3RER9xtqwdhxkhw/edit?usp=sharing"",""พระนครศรีอยุธยา!M275"")"),0)</f>
        <v>0</v>
      </c>
      <c r="O380" s="373">
        <f ca="1">+IF(L380&gt;0,N380*100/L380,0)</f>
        <v>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IFERROR(__xludf.DUMMYFUNCTION("IMPORTRANGE(""https://docs.google.com/spreadsheets/d/1SX6NBoVAgQJ6U1MVXOaj8PK2l7WJ3RER9xtqwdhxkhw/edit?usp=sharing"",""พระนครศรีอยุธยา!I276"")"),0)</f>
        <v>0</v>
      </c>
      <c r="J381" s="371">
        <f ca="1">IFERROR(__xludf.DUMMYFUNCTION("IMPORTRANGE(""https://docs.google.com/spreadsheets/d/1SX6NBoVAgQJ6U1MVXOaj8PK2l7WJ3RER9xtqwdhxkhw/edit?usp=sharing"",""พระนครศรีอยุธยา!J276"")"),0)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IFERROR(__xludf.DUMMYFUNCTION("IMPORTRANGE(""https://docs.google.com/spreadsheets/d/1SX6NBoVAgQJ6U1MVXOaj8PK2l7WJ3RER9xtqwdhxkhw/edit?usp=sharing"",""พระนครศรีอยุธยา!L277"")"),0)</f>
        <v>0</v>
      </c>
      <c r="M382" s="164"/>
      <c r="N382" s="164">
        <f ca="1">IFERROR(__xludf.DUMMYFUNCTION("IMPORTRANGE(""https://docs.google.com/spreadsheets/d/1SX6NBoVAgQJ6U1MVXOaj8PK2l7WJ3RER9xtqwdhxkhw/edit?usp=sharing"",""พระนครศรีอยุธยา!M277"")"),0)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IFERROR(__xludf.DUMMYFUNCTION("IMPORTRANGE(""https://docs.google.com/spreadsheets/d/1SX6NBoVAgQJ6U1MVXOaj8PK2l7WJ3RER9xtqwdhxkhw/edit?usp=sharing"",""พระนครศรีอยุธยา!L278"")"),0)</f>
        <v>0</v>
      </c>
      <c r="M383" s="165"/>
      <c r="N383" s="165">
        <f ca="1">IFERROR(__xludf.DUMMYFUNCTION("IMPORTRANGE(""https://docs.google.com/spreadsheets/d/1SX6NBoVAgQJ6U1MVXOaj8PK2l7WJ3RER9xtqwdhxkhw/edit?usp=sharing"",""พระนครศรีอยุธยา!M278"")"),0)</f>
        <v>0</v>
      </c>
      <c r="O383" s="165">
        <f t="shared" ca="1" si="109"/>
        <v>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IFERROR(__xludf.DUMMYFUNCTION("IMPORTRANGE(""https://docs.google.com/spreadsheets/d/1SX6NBoVAgQJ6U1MVXOaj8PK2l7WJ3RER9xtqwdhxkhw/edit?usp=sharing"",""พระนครศรีอยุธยา!L279"")"),0)</f>
        <v>0</v>
      </c>
      <c r="M384" s="169"/>
      <c r="N384" s="169">
        <f ca="1">IFERROR(__xludf.DUMMYFUNCTION("IMPORTRANGE(""https://docs.google.com/spreadsheets/d/1SX6NBoVAgQJ6U1MVXOaj8PK2l7WJ3RER9xtqwdhxkhw/edit?usp=sharing"",""พระนครศรีอยุธยา!M279"")"),0)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IFERROR(__xludf.DUMMYFUNCTION("IMPORTRANGE(""https://docs.google.com/spreadsheets/d/1SX6NBoVAgQJ6U1MVXOaj8PK2l7WJ3RER9xtqwdhxkhw/edit?usp=sharing"",""พระนครศรีอยุธยา!L280"")"),0)</f>
        <v>0</v>
      </c>
      <c r="M385" s="169"/>
      <c r="N385" s="168">
        <f ca="1">IFERROR(__xludf.DUMMYFUNCTION("IMPORTRANGE(""https://docs.google.com/spreadsheets/d/1SX6NBoVAgQJ6U1MVXOaj8PK2l7WJ3RER9xtqwdhxkhw/edit?usp=sharing"",""พระนครศรีอยุธยา!M280"")"),0)</f>
        <v>0</v>
      </c>
      <c r="O385" s="169">
        <f t="shared" ca="1" si="109"/>
        <v>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IFERROR(__xludf.DUMMYFUNCTION("IMPORTRANGE(""https://docs.google.com/spreadsheets/d/1SX6NBoVAgQJ6U1MVXOaj8PK2l7WJ3RER9xtqwdhxkhw/edit?usp=sharing"",""พระนครศรีอยุธยา!M281"")"),0)</f>
        <v>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IFERROR(__xludf.DUMMYFUNCTION("IMPORTRANGE(""https://docs.google.com/spreadsheets/d/1SX6NBoVAgQJ6U1MVXOaj8PK2l7WJ3RER9xtqwdhxkhw/edit?usp=sharing"",""พระนครศรีอยุธยา!M282"")"),0)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IFERROR(__xludf.DUMMYFUNCTION("IMPORTRANGE(""https://docs.google.com/spreadsheets/d/1SX6NBoVAgQJ6U1MVXOaj8PK2l7WJ3RER9xtqwdhxkhw/edit?usp=sharing"",""พระนครศรีอยุธยา!M283"")"),0)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IFERROR(__xludf.DUMMYFUNCTION("IMPORTRANGE(""https://docs.google.com/spreadsheets/d/1SX6NBoVAgQJ6U1MVXOaj8PK2l7WJ3RER9xtqwdhxkhw/edit?usp=sharing"",""พระนครศรีอยุธยา!M284"")"),0)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IFERROR(__xludf.DUMMYFUNCTION("IMPORTRANGE(""https://docs.google.com/spreadsheets/d/1SX6NBoVAgQJ6U1MVXOaj8PK2l7WJ3RER9xtqwdhxkhw/edit?usp=sharing"",""พระนครศรีอยุธยา!J286"")"),0)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IFERROR(__xludf.DUMMYFUNCTION("IMPORTRANGE(""https://docs.google.com/spreadsheets/d/1SX6NBoVAgQJ6U1MVXOaj8PK2l7WJ3RER9xtqwdhxkhw/edit?usp=sharing"",""พระนครศรีอยุธยา!J287"")"),0)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IFERROR(__xludf.DUMMYFUNCTION("IMPORTRANGE(""https://docs.google.com/spreadsheets/d/1SX6NBoVAgQJ6U1MVXOaj8PK2l7WJ3RER9xtqwdhxkhw/edit?usp=sharing"",""พระนครศรีอยุธยา!J288"")"),0)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IFERROR(__xludf.DUMMYFUNCTION("IMPORTRANGE(""https://docs.google.com/spreadsheets/d/1SX6NBoVAgQJ6U1MVXOaj8PK2l7WJ3RER9xtqwdhxkhw/edit?usp=sharing"",""พระนครศรีอยุธยา!J289"")"),0)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IFERROR(__xludf.DUMMYFUNCTION("IMPORTRANGE(""https://docs.google.com/spreadsheets/d/1SX6NBoVAgQJ6U1MVXOaj8PK2l7WJ3RER9xtqwdhxkhw/edit?usp=sharing"",""พระนครศรีอยุธยา!I291"")"),0)</f>
        <v>0</v>
      </c>
      <c r="J396" s="198">
        <f ca="1">IFERROR(__xludf.DUMMYFUNCTION("IMPORTRANGE(""https://docs.google.com/spreadsheets/d/1SX6NBoVAgQJ6U1MVXOaj8PK2l7WJ3RER9xtqwdhxkhw/edit?usp=sharing"",""พระนครศรีอยุธยา!J291"")"),0)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IFERROR(__xludf.DUMMYFUNCTION("IMPORTRANGE(""https://docs.google.com/spreadsheets/d/1SX6NBoVAgQJ6U1MVXOaj8PK2l7WJ3RER9xtqwdhxkhw/edit?usp=sharing"",""พระนครศรีอยุธยา!I292"")"),0)</f>
        <v>0</v>
      </c>
      <c r="J397" s="198">
        <f ca="1">IFERROR(__xludf.DUMMYFUNCTION("IMPORTRANGE(""https://docs.google.com/spreadsheets/d/1SX6NBoVAgQJ6U1MVXOaj8PK2l7WJ3RER9xtqwdhxkhw/edit?usp=sharing"",""พระนครศรีอยุธยา!J292"")"),0)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IFERROR(__xludf.DUMMYFUNCTION("IMPORTRANGE(""https://docs.google.com/spreadsheets/d/1SX6NBoVAgQJ6U1MVXOaj8PK2l7WJ3RER9xtqwdhxkhw/edit?usp=sharing"",""พระนครศรีอยุธยา!I293"")"),0)</f>
        <v>0</v>
      </c>
      <c r="J398" s="198">
        <f ca="1">IFERROR(__xludf.DUMMYFUNCTION("IMPORTRANGE(""https://docs.google.com/spreadsheets/d/1SX6NBoVAgQJ6U1MVXOaj8PK2l7WJ3RER9xtqwdhxkhw/edit?usp=sharing"",""พระนครศรีอยุธยา!J293"")"),0)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IFERROR(__xludf.DUMMYFUNCTION("IMPORTRANGE(""https://docs.google.com/spreadsheets/d/1SX6NBoVAgQJ6U1MVXOaj8PK2l7WJ3RER9xtqwdhxkhw/edit?usp=sharing"",""พระนครศรีอยุธยา!J294"")"),0)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IFERROR(__xludf.DUMMYFUNCTION("IMPORTRANGE(""https://docs.google.com/spreadsheets/d/1SX6NBoVAgQJ6U1MVXOaj8PK2l7WJ3RER9xtqwdhxkhw/edit?usp=sharing"",""พระนครศรีอยุธยา!J295"")"),0)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IFERROR(__xludf.DUMMYFUNCTION("IMPORTRANGE(""https://docs.google.com/spreadsheets/d/1SX6NBoVAgQJ6U1MVXOaj8PK2l7WJ3RER9xtqwdhxkhw/edit?usp=sharing"",""พระนครศรีอยุธยา!I296"")"),225)</f>
        <v>225</v>
      </c>
      <c r="J401" s="371">
        <f ca="1">IFERROR(__xludf.DUMMYFUNCTION("IMPORTRANGE(""https://docs.google.com/spreadsheets/d/1SX6NBoVAgQJ6U1MVXOaj8PK2l7WJ3RER9xtqwdhxkhw/edit?usp=sharing"",""พระนครศรีอยุธยา!J296"")"),225)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IFERROR(__xludf.DUMMYFUNCTION("IMPORTRANGE(""https://docs.google.com/spreadsheets/d/1SX6NBoVAgQJ6U1MVXOaj8PK2l7WJ3RER9xtqwdhxkhw/edit?usp=sharing"",""พระนครศรีอยุธยา!L296"")"),230070)</f>
        <v>230070</v>
      </c>
      <c r="M401" s="373"/>
      <c r="N401" s="373">
        <f ca="1">IFERROR(__xludf.DUMMYFUNCTION("IMPORTRANGE(""https://docs.google.com/spreadsheets/d/1SX6NBoVAgQJ6U1MVXOaj8PK2l7WJ3RER9xtqwdhxkhw/edit?usp=sharing"",""พระนครศรีอยุธยา!M296"")"),103642.6)</f>
        <v>103642.6</v>
      </c>
      <c r="O401" s="373">
        <f ca="1">+IF(L401&gt;0,N401*100/L401,0)</f>
        <v>45.048289650975789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IFERROR(__xludf.DUMMYFUNCTION("IMPORTRANGE(""https://docs.google.com/spreadsheets/d/1SX6NBoVAgQJ6U1MVXOaj8PK2l7WJ3RER9xtqwdhxkhw/edit?usp=sharing"",""พระนครศรีอยุธยา!I297"")"),75)</f>
        <v>75</v>
      </c>
      <c r="J402" s="371">
        <f ca="1">IFERROR(__xludf.DUMMYFUNCTION("IMPORTRANGE(""https://docs.google.com/spreadsheets/d/1SX6NBoVAgQJ6U1MVXOaj8PK2l7WJ3RER9xtqwdhxkhw/edit?usp=sharing"",""พระนครศรีอยุธยา!J297"")"),75)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IFERROR(__xludf.DUMMYFUNCTION("IMPORTRANGE(""https://docs.google.com/spreadsheets/d/1SX6NBoVAgQJ6U1MVXOaj8PK2l7WJ3RER9xtqwdhxkhw/edit?usp=sharing"",""พระนครศรีอยุธยา!L298"")"),0)</f>
        <v>0</v>
      </c>
      <c r="M403" s="164"/>
      <c r="N403" s="169">
        <f ca="1">IFERROR(__xludf.DUMMYFUNCTION("IMPORTRANGE(""https://docs.google.com/spreadsheets/d/1SX6NBoVAgQJ6U1MVXOaj8PK2l7WJ3RER9xtqwdhxkhw/edit?usp=sharing"",""พระนครศรีอยุธยา!M298"")"),0)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IFERROR(__xludf.DUMMYFUNCTION("IMPORTRANGE(""https://docs.google.com/spreadsheets/d/1SX6NBoVAgQJ6U1MVXOaj8PK2l7WJ3RER9xtqwdhxkhw/edit?usp=sharing"",""พระนครศรีอยุธยา!L299"")"),230070)</f>
        <v>230070</v>
      </c>
      <c r="M404" s="165"/>
      <c r="N404" s="169">
        <f ca="1">IFERROR(__xludf.DUMMYFUNCTION("IMPORTRANGE(""https://docs.google.com/spreadsheets/d/1SX6NBoVAgQJ6U1MVXOaj8PK2l7WJ3RER9xtqwdhxkhw/edit?usp=sharing"",""พระนครศรีอยุธยา!M299"")"),103642.6)</f>
        <v>103642.6</v>
      </c>
      <c r="O404" s="169">
        <f t="shared" ca="1" si="112"/>
        <v>45.048289650975789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IFERROR(__xludf.DUMMYFUNCTION("IMPORTRANGE(""https://docs.google.com/spreadsheets/d/1SX6NBoVAgQJ6U1MVXOaj8PK2l7WJ3RER9xtqwdhxkhw/edit?usp=sharing"",""พระนครศรีอยุธยา!L300"")"),0)</f>
        <v>0</v>
      </c>
      <c r="M405" s="169"/>
      <c r="N405" s="169">
        <f ca="1">IFERROR(__xludf.DUMMYFUNCTION("IMPORTRANGE(""https://docs.google.com/spreadsheets/d/1SX6NBoVAgQJ6U1MVXOaj8PK2l7WJ3RER9xtqwdhxkhw/edit?usp=sharing"",""พระนครศรีอยุธยา!M300"")"),0)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IFERROR(__xludf.DUMMYFUNCTION("IMPORTRANGE(""https://docs.google.com/spreadsheets/d/1SX6NBoVAgQJ6U1MVXOaj8PK2l7WJ3RER9xtqwdhxkhw/edit?usp=sharing"",""พระนครศรีอยุธยา!L301"")"),230070)</f>
        <v>230070</v>
      </c>
      <c r="M406" s="169"/>
      <c r="N406" s="169">
        <f ca="1">IFERROR(__xludf.DUMMYFUNCTION("IMPORTRANGE(""https://docs.google.com/spreadsheets/d/1SX6NBoVAgQJ6U1MVXOaj8PK2l7WJ3RER9xtqwdhxkhw/edit?usp=sharing"",""พระนครศรีอยุธยา!M301"")"),103642.6)</f>
        <v>103642.6</v>
      </c>
      <c r="O406" s="169">
        <f t="shared" ca="1" si="112"/>
        <v>45.048289650975789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IFERROR(__xludf.DUMMYFUNCTION("IMPORTRANGE(""https://docs.google.com/spreadsheets/d/1SX6NBoVAgQJ6U1MVXOaj8PK2l7WJ3RER9xtqwdhxkhw/edit?usp=sharing"",""พระนครศรีอยุธยา!M302"")"),94287.6)</f>
        <v>94287.6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IFERROR(__xludf.DUMMYFUNCTION("IMPORTRANGE(""https://docs.google.com/spreadsheets/d/1SX6NBoVAgQJ6U1MVXOaj8PK2l7WJ3RER9xtqwdhxkhw/edit?usp=sharing"",""พระนครศรีอยุธยา!M303"")"),0)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IFERROR(__xludf.DUMMYFUNCTION("IMPORTRANGE(""https://docs.google.com/spreadsheets/d/1SX6NBoVAgQJ6U1MVXOaj8PK2l7WJ3RER9xtqwdhxkhw/edit?usp=sharing"",""พระนครศรีอยุธยา!M304"")"),0)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IFERROR(__xludf.DUMMYFUNCTION("IMPORTRANGE(""https://docs.google.com/spreadsheets/d/1SX6NBoVAgQJ6U1MVXOaj8PK2l7WJ3RER9xtqwdhxkhw/edit?usp=sharing"",""พระนครศรีอยุธยา!M305"")"),9355)</f>
        <v>9355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IFERROR(__xludf.DUMMYFUNCTION("IMPORTRANGE(""https://docs.google.com/spreadsheets/d/1SX6NBoVAgQJ6U1MVXOaj8PK2l7WJ3RER9xtqwdhxkhw/edit?usp=sharing"",""พระนครศรีอยุธยา!J307"")"),0)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IFERROR(__xludf.DUMMYFUNCTION("IMPORTRANGE(""https://docs.google.com/spreadsheets/d/1SX6NBoVAgQJ6U1MVXOaj8PK2l7WJ3RER9xtqwdhxkhw/edit?usp=sharing"",""พระนครศรีอยุธยา!J308"")"),1)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IFERROR(__xludf.DUMMYFUNCTION("IMPORTRANGE(""https://docs.google.com/spreadsheets/d/1SX6NBoVAgQJ6U1MVXOaj8PK2l7WJ3RER9xtqwdhxkhw/edit?usp=sharing"",""พระนครศรีอยุธยา!J309"")"),1)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IFERROR(__xludf.DUMMYFUNCTION("IMPORTRANGE(""https://docs.google.com/spreadsheets/d/1SX6NBoVAgQJ6U1MVXOaj8PK2l7WJ3RER9xtqwdhxkhw/edit?usp=sharing"",""พระนครศรีอยุธยา!J310"")"),1)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IFERROR(__xludf.DUMMYFUNCTION("IMPORTRANGE(""https://docs.google.com/spreadsheets/d/1SX6NBoVAgQJ6U1MVXOaj8PK2l7WJ3RER9xtqwdhxkhw/edit?usp=sharing"",""พระนครศรีอยุธยา!I311"")"),75)</f>
        <v>75</v>
      </c>
      <c r="J416" s="201">
        <f ca="1">IFERROR(__xludf.DUMMYFUNCTION("IMPORTRANGE(""https://docs.google.com/spreadsheets/d/1SX6NBoVAgQJ6U1MVXOaj8PK2l7WJ3RER9xtqwdhxkhw/edit?usp=sharing"",""พระนครศรีอยุธยา!J311"")"),75)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IFERROR(__xludf.DUMMYFUNCTION("IMPORTRANGE(""https://docs.google.com/spreadsheets/d/1SX6NBoVAgQJ6U1MVXOaj8PK2l7WJ3RER9xtqwdhxkhw/edit?usp=sharing"",""พระนครศรีอยุธยา!I312"")"),0)</f>
        <v>0</v>
      </c>
      <c r="J417" s="392">
        <f ca="1">IFERROR(__xludf.DUMMYFUNCTION("IMPORTRANGE(""https://docs.google.com/spreadsheets/d/1SX6NBoVAgQJ6U1MVXOaj8PK2l7WJ3RER9xtqwdhxkhw/edit?usp=sharing"",""พระนครศรีอยุธยา!J312"")"),0)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IFERROR(__xludf.DUMMYFUNCTION("IMPORTRANGE(""https://docs.google.com/spreadsheets/d/1SX6NBoVAgQJ6U1MVXOaj8PK2l7WJ3RER9xtqwdhxkhw/edit?usp=sharing"",""พระนครศรีอยุธยา!I313"")"),0)</f>
        <v>0</v>
      </c>
      <c r="J418" s="393">
        <f ca="1">IFERROR(__xludf.DUMMYFUNCTION("IMPORTRANGE(""https://docs.google.com/spreadsheets/d/1SX6NBoVAgQJ6U1MVXOaj8PK2l7WJ3RER9xtqwdhxkhw/edit?usp=sharing"",""พระนครศรีอยุธยา!J313"")"),0)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IFERROR(__xludf.DUMMYFUNCTION("IMPORTRANGE(""https://docs.google.com/spreadsheets/d/1SX6NBoVAgQJ6U1MVXOaj8PK2l7WJ3RER9xtqwdhxkhw/edit?usp=sharing"",""พระนครศรีอยุธยา!I314"")"),0)</f>
        <v>0</v>
      </c>
      <c r="J419" s="394">
        <f ca="1">IFERROR(__xludf.DUMMYFUNCTION("IMPORTRANGE(""https://docs.google.com/spreadsheets/d/1SX6NBoVAgQJ6U1MVXOaj8PK2l7WJ3RER9xtqwdhxkhw/edit?usp=sharing"",""พระนครศรีอยุธยา!J314"")"),0)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IFERROR(__xludf.DUMMYFUNCTION("IMPORTRANGE(""https://docs.google.com/spreadsheets/d/1SX6NBoVAgQJ6U1MVXOaj8PK2l7WJ3RER9xtqwdhxkhw/edit?usp=sharing"",""พระนครศรีอยุธยา!I315"")"),0)</f>
        <v>0</v>
      </c>
      <c r="J420" s="394">
        <f ca="1">IFERROR(__xludf.DUMMYFUNCTION("IMPORTRANGE(""https://docs.google.com/spreadsheets/d/1SX6NBoVAgQJ6U1MVXOaj8PK2l7WJ3RER9xtqwdhxkhw/edit?usp=sharing"",""พระนครศรีอยุธยา!J315"")"),0)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IFERROR(__xludf.DUMMYFUNCTION("IMPORTRANGE(""https://docs.google.com/spreadsheets/d/1SX6NBoVAgQJ6U1MVXOaj8PK2l7WJ3RER9xtqwdhxkhw/edit?usp=sharing"",""พระนครศรีอยุธยา!I316"")"),65)</f>
        <v>65</v>
      </c>
      <c r="J421" s="392">
        <f ca="1">IFERROR(__xludf.DUMMYFUNCTION("IMPORTRANGE(""https://docs.google.com/spreadsheets/d/1SX6NBoVAgQJ6U1MVXOaj8PK2l7WJ3RER9xtqwdhxkhw/edit?usp=sharing"",""พระนครศรีอยุธยา!J316"")"),65)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IFERROR(__xludf.DUMMYFUNCTION("IMPORTRANGE(""https://docs.google.com/spreadsheets/d/1SX6NBoVAgQJ6U1MVXOaj8PK2l7WJ3RER9xtqwdhxkhw/edit?usp=sharing"",""พระนครศรีอยุธยา!I317"")"),195)</f>
        <v>195</v>
      </c>
      <c r="J422" s="393">
        <f ca="1">IFERROR(__xludf.DUMMYFUNCTION("IMPORTRANGE(""https://docs.google.com/spreadsheets/d/1SX6NBoVAgQJ6U1MVXOaj8PK2l7WJ3RER9xtqwdhxkhw/edit?usp=sharing"",""พระนครศรีอยุธยา!J317"")"),195)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IFERROR(__xludf.DUMMYFUNCTION("IMPORTRANGE(""https://docs.google.com/spreadsheets/d/1SX6NBoVAgQJ6U1MVXOaj8PK2l7WJ3RER9xtqwdhxkhw/edit?usp=sharing"",""พระนครศรีอยุธยา!I318"")"),65)</f>
        <v>65</v>
      </c>
      <c r="J423" s="394">
        <f ca="1">IFERROR(__xludf.DUMMYFUNCTION("IMPORTRANGE(""https://docs.google.com/spreadsheets/d/1SX6NBoVAgQJ6U1MVXOaj8PK2l7WJ3RER9xtqwdhxkhw/edit?usp=sharing"",""พระนครศรีอยุธยา!J318"")"),65)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IFERROR(__xludf.DUMMYFUNCTION("IMPORTRANGE(""https://docs.google.com/spreadsheets/d/1SX6NBoVAgQJ6U1MVXOaj8PK2l7WJ3RER9xtqwdhxkhw/edit?usp=sharing"",""พระนครศรีอยุธยา!I319"")"),65)</f>
        <v>65</v>
      </c>
      <c r="J424" s="394">
        <f ca="1">IFERROR(__xludf.DUMMYFUNCTION("IMPORTRANGE(""https://docs.google.com/spreadsheets/d/1SX6NBoVAgQJ6U1MVXOaj8PK2l7WJ3RER9xtqwdhxkhw/edit?usp=sharing"",""พระนครศรีอยุธยา!J319"")"),65)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IFERROR(__xludf.DUMMYFUNCTION("IMPORTRANGE(""https://docs.google.com/spreadsheets/d/1SX6NBoVAgQJ6U1MVXOaj8PK2l7WJ3RER9xtqwdhxkhw/edit?usp=sharing"",""พระนครศรีอยุธยา!I320"")"),65)</f>
        <v>65</v>
      </c>
      <c r="J425" s="394">
        <f ca="1">IFERROR(__xludf.DUMMYFUNCTION("IMPORTRANGE(""https://docs.google.com/spreadsheets/d/1SX6NBoVAgQJ6U1MVXOaj8PK2l7WJ3RER9xtqwdhxkhw/edit?usp=sharing"",""พระนครศรีอยุธยา!J320"")"),65)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IFERROR(__xludf.DUMMYFUNCTION("IMPORTRANGE(""https://docs.google.com/spreadsheets/d/1SX6NBoVAgQJ6U1MVXOaj8PK2l7WJ3RER9xtqwdhxkhw/edit?usp=sharing"",""พระนครศรีอยุธยา!I321"")"),10)</f>
        <v>10</v>
      </c>
      <c r="J426" s="392">
        <f ca="1">IFERROR(__xludf.DUMMYFUNCTION("IMPORTRANGE(""https://docs.google.com/spreadsheets/d/1SX6NBoVAgQJ6U1MVXOaj8PK2l7WJ3RER9xtqwdhxkhw/edit?usp=sharing"",""พระนครศรีอยุธยา!J321"")"),10)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IFERROR(__xludf.DUMMYFUNCTION("IMPORTRANGE(""https://docs.google.com/spreadsheets/d/1SX6NBoVAgQJ6U1MVXOaj8PK2l7WJ3RER9xtqwdhxkhw/edit?usp=sharing"",""พระนครศรีอยุธยา!I322"")"),30)</f>
        <v>30</v>
      </c>
      <c r="J427" s="393">
        <f ca="1">IFERROR(__xludf.DUMMYFUNCTION("IMPORTRANGE(""https://docs.google.com/spreadsheets/d/1SX6NBoVAgQJ6U1MVXOaj8PK2l7WJ3RER9xtqwdhxkhw/edit?usp=sharing"",""พระนครศรีอยุธยา!J322"")"),30)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IFERROR(__xludf.DUMMYFUNCTION("IMPORTRANGE(""https://docs.google.com/spreadsheets/d/1SX6NBoVAgQJ6U1MVXOaj8PK2l7WJ3RER9xtqwdhxkhw/edit?usp=sharing"",""พระนครศรีอยุธยา!I323"")"),10)</f>
        <v>10</v>
      </c>
      <c r="J428" s="394">
        <f ca="1">IFERROR(__xludf.DUMMYFUNCTION("IMPORTRANGE(""https://docs.google.com/spreadsheets/d/1SX6NBoVAgQJ6U1MVXOaj8PK2l7WJ3RER9xtqwdhxkhw/edit?usp=sharing"",""พระนครศรีอยุธยา!J323"")"),10)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IFERROR(__xludf.DUMMYFUNCTION("IMPORTRANGE(""https://docs.google.com/spreadsheets/d/1SX6NBoVAgQJ6U1MVXOaj8PK2l7WJ3RER9xtqwdhxkhw/edit?usp=sharing"",""พระนครศรีอยุธยา!I324"")"),10)</f>
        <v>10</v>
      </c>
      <c r="J429" s="394">
        <f ca="1">IFERROR(__xludf.DUMMYFUNCTION("IMPORTRANGE(""https://docs.google.com/spreadsheets/d/1SX6NBoVAgQJ6U1MVXOaj8PK2l7WJ3RER9xtqwdhxkhw/edit?usp=sharing"",""พระนครศรีอยุธยา!J324"")"),10)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IFERROR(__xludf.DUMMYFUNCTION("IMPORTRANGE(""https://docs.google.com/spreadsheets/d/1SX6NBoVAgQJ6U1MVXOaj8PK2l7WJ3RER9xtqwdhxkhw/edit?usp=sharing"",""พระนครศรีอยุธยา!I325"")"),65)</f>
        <v>65</v>
      </c>
      <c r="J430" s="392">
        <f ca="1">IFERROR(__xludf.DUMMYFUNCTION("IMPORTRANGE(""https://docs.google.com/spreadsheets/d/1SX6NBoVAgQJ6U1MVXOaj8PK2l7WJ3RER9xtqwdhxkhw/edit?usp=sharing"",""พระนครศรีอยุธยา!J325"")"),0)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IFERROR(__xludf.DUMMYFUNCTION("IMPORTRANGE(""https://docs.google.com/spreadsheets/d/1SX6NBoVAgQJ6U1MVXOaj8PK2l7WJ3RER9xtqwdhxkhw/edit?usp=sharing"",""พระนครศรีอยุธยา!I326"")"),0)</f>
        <v>0</v>
      </c>
      <c r="J431" s="394">
        <f ca="1">IFERROR(__xludf.DUMMYFUNCTION("IMPORTRANGE(""https://docs.google.com/spreadsheets/d/1SX6NBoVAgQJ6U1MVXOaj8PK2l7WJ3RER9xtqwdhxkhw/edit?usp=sharing"",""พระนครศรีอยุธยา!J326"")"),0)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IFERROR(__xludf.DUMMYFUNCTION("IMPORTRANGE(""https://docs.google.com/spreadsheets/d/1SX6NBoVAgQJ6U1MVXOaj8PK2l7WJ3RER9xtqwdhxkhw/edit?usp=sharing"",""พระนครศรีอยุธยา!I327"")"),65)</f>
        <v>65</v>
      </c>
      <c r="J432" s="394">
        <f ca="1">IFERROR(__xludf.DUMMYFUNCTION("IMPORTRANGE(""https://docs.google.com/spreadsheets/d/1SX6NBoVAgQJ6U1MVXOaj8PK2l7WJ3RER9xtqwdhxkhw/edit?usp=sharing"",""พระนครศรีอยุธยา!J327"")"),0)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IFERROR(__xludf.DUMMYFUNCTION("IMPORTRANGE(""https://docs.google.com/spreadsheets/d/1SX6NBoVAgQJ6U1MVXOaj8PK2l7WJ3RER9xtqwdhxkhw/edit?usp=sharing"",""พระนครศรีอยุธยา!J328"")"),0)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IFERROR(__xludf.DUMMYFUNCTION("IMPORTRANGE(""https://docs.google.com/spreadsheets/d/1SX6NBoVAgQJ6U1MVXOaj8PK2l7WJ3RER9xtqwdhxkhw/edit?usp=sharing"",""พระนครศรีอยุธยา!J329"")"),0)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IFERROR(__xludf.DUMMYFUNCTION("IMPORTRANGE(""https://docs.google.com/spreadsheets/d/1SX6NBoVAgQJ6U1MVXOaj8PK2l7WJ3RER9xtqwdhxkhw/edit?usp=sharing"",""พระนครศรีอยุธยา!I330"")"),20)</f>
        <v>20</v>
      </c>
      <c r="J435" s="410">
        <f ca="1">IFERROR(__xludf.DUMMYFUNCTION("IMPORTRANGE(""https://docs.google.com/spreadsheets/d/1SX6NBoVAgQJ6U1MVXOaj8PK2l7WJ3RER9xtqwdhxkhw/edit?usp=sharing"",""พระนครศรีอยุธยา!J330"")"),20)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IFERROR(__xludf.DUMMYFUNCTION("IMPORTRANGE(""https://docs.google.com/spreadsheets/d/1SX6NBoVAgQJ6U1MVXOaj8PK2l7WJ3RER9xtqwdhxkhw/edit?usp=sharing"",""พระนครศรีอยุธยา!L330"")"),118000)</f>
        <v>118000</v>
      </c>
      <c r="M435" s="412"/>
      <c r="N435" s="412">
        <f ca="1">IFERROR(__xludf.DUMMYFUNCTION("IMPORTRANGE(""https://docs.google.com/spreadsheets/d/1SX6NBoVAgQJ6U1MVXOaj8PK2l7WJ3RER9xtqwdhxkhw/edit?usp=sharing"",""พระนครศรีอยุธยา!M330"")"),75550.22)</f>
        <v>75550.22</v>
      </c>
      <c r="O435" s="412">
        <f t="shared" ref="O435:O439" ca="1" si="114">+IF(L435&gt;0,N435*100/L435,0)</f>
        <v>64.025610169491529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IFERROR(__xludf.DUMMYFUNCTION("IMPORTRANGE(""https://docs.google.com/spreadsheets/d/1SX6NBoVAgQJ6U1MVXOaj8PK2l7WJ3RER9xtqwdhxkhw/edit?usp=sharing"",""พระนครศรีอยุธยา!L331"")"),0)</f>
        <v>0</v>
      </c>
      <c r="M436" s="164"/>
      <c r="N436" s="169">
        <f ca="1">IFERROR(__xludf.DUMMYFUNCTION("IMPORTRANGE(""https://docs.google.com/spreadsheets/d/1SX6NBoVAgQJ6U1MVXOaj8PK2l7WJ3RER9xtqwdhxkhw/edit?usp=sharing"",""พระนครศรีอยุธยา!M331"")"),0)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IFERROR(__xludf.DUMMYFUNCTION("IMPORTRANGE(""https://docs.google.com/spreadsheets/d/1SX6NBoVAgQJ6U1MVXOaj8PK2l7WJ3RER9xtqwdhxkhw/edit?usp=sharing"",""พระนครศรีอยุธยา!L332"")"),118000)</f>
        <v>118000</v>
      </c>
      <c r="M437" s="165"/>
      <c r="N437" s="169">
        <f ca="1">IFERROR(__xludf.DUMMYFUNCTION("IMPORTRANGE(""https://docs.google.com/spreadsheets/d/1SX6NBoVAgQJ6U1MVXOaj8PK2l7WJ3RER9xtqwdhxkhw/edit?usp=sharing"",""พระนครศรีอยุธยา!M332"")"),75550.22)</f>
        <v>75550.22</v>
      </c>
      <c r="O437" s="169">
        <f t="shared" ca="1" si="114"/>
        <v>64.025610169491529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IFERROR(__xludf.DUMMYFUNCTION("IMPORTRANGE(""https://docs.google.com/spreadsheets/d/1SX6NBoVAgQJ6U1MVXOaj8PK2l7WJ3RER9xtqwdhxkhw/edit?usp=sharing"",""พระนครศรีอยุธยา!L333"")"),0)</f>
        <v>0</v>
      </c>
      <c r="M438" s="169"/>
      <c r="N438" s="169">
        <f ca="1">IFERROR(__xludf.DUMMYFUNCTION("IMPORTRANGE(""https://docs.google.com/spreadsheets/d/1SX6NBoVAgQJ6U1MVXOaj8PK2l7WJ3RER9xtqwdhxkhw/edit?usp=sharing"",""พระนครศรีอยุธยา!M333"")"),0)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IFERROR(__xludf.DUMMYFUNCTION("IMPORTRANGE(""https://docs.google.com/spreadsheets/d/1SX6NBoVAgQJ6U1MVXOaj8PK2l7WJ3RER9xtqwdhxkhw/edit?usp=sharing"",""พระนครศรีอยุธยา!L334"")"),118000)</f>
        <v>118000</v>
      </c>
      <c r="M439" s="169"/>
      <c r="N439" s="169">
        <f ca="1">IFERROR(__xludf.DUMMYFUNCTION("IMPORTRANGE(""https://docs.google.com/spreadsheets/d/1SX6NBoVAgQJ6U1MVXOaj8PK2l7WJ3RER9xtqwdhxkhw/edit?usp=sharing"",""พระนครศรีอยุธยา!M334"")"),75550.22)</f>
        <v>75550.22</v>
      </c>
      <c r="O439" s="169">
        <f t="shared" ca="1" si="114"/>
        <v>64.025610169491529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IFERROR(__xludf.DUMMYFUNCTION("IMPORTRANGE(""https://docs.google.com/spreadsheets/d/1SX6NBoVAgQJ6U1MVXOaj8PK2l7WJ3RER9xtqwdhxkhw/edit?usp=sharing"",""พระนครศรีอยุธยา!M335"")"),67120.1)</f>
        <v>67120.100000000006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IFERROR(__xludf.DUMMYFUNCTION("IMPORTRANGE(""https://docs.google.com/spreadsheets/d/1SX6NBoVAgQJ6U1MVXOaj8PK2l7WJ3RER9xtqwdhxkhw/edit?usp=sharing"",""พระนครศรีอยุธยา!M336"")"),0)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IFERROR(__xludf.DUMMYFUNCTION("IMPORTRANGE(""https://docs.google.com/spreadsheets/d/1SX6NBoVAgQJ6U1MVXOaj8PK2l7WJ3RER9xtqwdhxkhw/edit?usp=sharing"",""พระนครศรีอยุธยา!M337"")"),0)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IFERROR(__xludf.DUMMYFUNCTION("IMPORTRANGE(""https://docs.google.com/spreadsheets/d/1SX6NBoVAgQJ6U1MVXOaj8PK2l7WJ3RER9xtqwdhxkhw/edit?usp=sharing"",""พระนครศรีอยุธยา!M338"")"),8430.12)</f>
        <v>8430.1200000000008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IFERROR(__xludf.DUMMYFUNCTION("IMPORTRANGE(""https://docs.google.com/spreadsheets/d/1SX6NBoVAgQJ6U1MVXOaj8PK2l7WJ3RER9xtqwdhxkhw/edit?usp=sharing"",""พระนครศรีอยุธยา!J340"")"),0)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IFERROR(__xludf.DUMMYFUNCTION("IMPORTRANGE(""https://docs.google.com/spreadsheets/d/1SX6NBoVAgQJ6U1MVXOaj8PK2l7WJ3RER9xtqwdhxkhw/edit?usp=sharing"",""พระนครศรีอยุธยา!J341"")"),1)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IFERROR(__xludf.DUMMYFUNCTION("IMPORTRANGE(""https://docs.google.com/spreadsheets/d/1SX6NBoVAgQJ6U1MVXOaj8PK2l7WJ3RER9xtqwdhxkhw/edit?usp=sharing"",""พระนครศรีอยุธยา!J342"")"),1)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IFERROR(__xludf.DUMMYFUNCTION("IMPORTRANGE(""https://docs.google.com/spreadsheets/d/1SX6NBoVAgQJ6U1MVXOaj8PK2l7WJ3RER9xtqwdhxkhw/edit?usp=sharing"",""พระนครศรีอยุธยา!J343"")"),1)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IFERROR(__xludf.DUMMYFUNCTION("IMPORTRANGE(""https://docs.google.com/spreadsheets/d/1SX6NBoVAgQJ6U1MVXOaj8PK2l7WJ3RER9xtqwdhxkhw/edit?usp=sharing"",""พระนครศรีอยุธยา!I344"")"),20)</f>
        <v>20</v>
      </c>
      <c r="J449" s="201">
        <f ca="1">IFERROR(__xludf.DUMMYFUNCTION("IMPORTRANGE(""https://docs.google.com/spreadsheets/d/1SX6NBoVAgQJ6U1MVXOaj8PK2l7WJ3RER9xtqwdhxkhw/edit?usp=sharing"",""พระนครศรีอยุธยา!J344"")"),20)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IFERROR(__xludf.DUMMYFUNCTION("IMPORTRANGE(""https://docs.google.com/spreadsheets/d/1SX6NBoVAgQJ6U1MVXOaj8PK2l7WJ3RER9xtqwdhxkhw/edit?usp=sharing"",""พระนครศรีอยุธยา!I345"")"),20)</f>
        <v>20</v>
      </c>
      <c r="J450" s="189">
        <f ca="1">IFERROR(__xludf.DUMMYFUNCTION("IMPORTRANGE(""https://docs.google.com/spreadsheets/d/1SX6NBoVAgQJ6U1MVXOaj8PK2l7WJ3RER9xtqwdhxkhw/edit?usp=sharing"",""พระนครศรีอยุธยา!J345"")"),20)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IFERROR(__xludf.DUMMYFUNCTION("IMPORTRANGE(""https://docs.google.com/spreadsheets/d/1SX6NBoVAgQJ6U1MVXOaj8PK2l7WJ3RER9xtqwdhxkhw/edit?usp=sharing"",""พระนครศรีอยุธยา!I346"")"),0)</f>
        <v>0</v>
      </c>
      <c r="J451" s="188">
        <f ca="1">IFERROR(__xludf.DUMMYFUNCTION("IMPORTRANGE(""https://docs.google.com/spreadsheets/d/1SX6NBoVAgQJ6U1MVXOaj8PK2l7WJ3RER9xtqwdhxkhw/edit?usp=sharing"",""พระนครศรีอยุธยา!J346"")"),0)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IFERROR(__xludf.DUMMYFUNCTION("IMPORTRANGE(""https://docs.google.com/spreadsheets/d/1SX6NBoVAgQJ6U1MVXOaj8PK2l7WJ3RER9xtqwdhxkhw/edit?usp=sharing"",""พระนครศรีอยุธยา!I347"")"),0)</f>
        <v>0</v>
      </c>
      <c r="J452" s="188">
        <f ca="1">IFERROR(__xludf.DUMMYFUNCTION("IMPORTRANGE(""https://docs.google.com/spreadsheets/d/1SX6NBoVAgQJ6U1MVXOaj8PK2l7WJ3RER9xtqwdhxkhw/edit?usp=sharing"",""พระนครศรีอยุธยา!J347"")"),0)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IFERROR(__xludf.DUMMYFUNCTION("IMPORTRANGE(""https://docs.google.com/spreadsheets/d/1SX6NBoVAgQJ6U1MVXOaj8PK2l7WJ3RER9xtqwdhxkhw/edit?usp=sharing"",""พระนครศรีอยุธยา!J348"")"),0)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IFERROR(__xludf.DUMMYFUNCTION("IMPORTRANGE(""https://docs.google.com/spreadsheets/d/1SX6NBoVAgQJ6U1MVXOaj8PK2l7WJ3RER9xtqwdhxkhw/edit?usp=sharing"",""พระนครศรีอยุธยา!J349"")"),0)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IFERROR(__xludf.DUMMYFUNCTION("IMPORTRANGE(""https://docs.google.com/spreadsheets/d/1SX6NBoVAgQJ6U1MVXOaj8PK2l7WJ3RER9xtqwdhxkhw/edit?usp=sharing"",""พระนครศรีอยุธยา!I350"")"),2217)</f>
        <v>2217</v>
      </c>
      <c r="J455" s="371">
        <f ca="1">IFERROR(__xludf.DUMMYFUNCTION("IMPORTRANGE(""https://docs.google.com/spreadsheets/d/1SX6NBoVAgQJ6U1MVXOaj8PK2l7WJ3RER9xtqwdhxkhw/edit?usp=sharing"",""พระนครศรีอยุธยา!J350"")"),0)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IFERROR(__xludf.DUMMYFUNCTION("IMPORTRANGE(""https://docs.google.com/spreadsheets/d/1SX6NBoVAgQJ6U1MVXOaj8PK2l7WJ3RER9xtqwdhxkhw/edit?usp=sharing"",""พระนครศรีอยุธยา!L350"")"),103457)</f>
        <v>103457</v>
      </c>
      <c r="M455" s="373"/>
      <c r="N455" s="373">
        <f ca="1">IFERROR(__xludf.DUMMYFUNCTION("IMPORTRANGE(""https://docs.google.com/spreadsheets/d/1SX6NBoVAgQJ6U1MVXOaj8PK2l7WJ3RER9xtqwdhxkhw/edit?usp=sharing"",""พระนครศรีอยุธยา!M350"")"),26475)</f>
        <v>26475</v>
      </c>
      <c r="O455" s="373">
        <f t="shared" ref="O455:O459" ca="1" si="116">+IF(L455&gt;0,N455*100/L455,0)</f>
        <v>25.590341881168023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IFERROR(__xludf.DUMMYFUNCTION("IMPORTRANGE(""https://docs.google.com/spreadsheets/d/1SX6NBoVAgQJ6U1MVXOaj8PK2l7WJ3RER9xtqwdhxkhw/edit?usp=sharing"",""พระนครศรีอยุธยา!L351"")"),0)</f>
        <v>0</v>
      </c>
      <c r="M456" s="164"/>
      <c r="N456" s="169">
        <f ca="1">IFERROR(__xludf.DUMMYFUNCTION("IMPORTRANGE(""https://docs.google.com/spreadsheets/d/1SX6NBoVAgQJ6U1MVXOaj8PK2l7WJ3RER9xtqwdhxkhw/edit?usp=sharing"",""พระนครศรีอยุธยา!M351"")"),0)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IFERROR(__xludf.DUMMYFUNCTION("IMPORTRANGE(""https://docs.google.com/spreadsheets/d/1SX6NBoVAgQJ6U1MVXOaj8PK2l7WJ3RER9xtqwdhxkhw/edit?usp=sharing"",""พระนครศรีอยุธยา!L352"")"),103457)</f>
        <v>103457</v>
      </c>
      <c r="M457" s="165"/>
      <c r="N457" s="169">
        <f ca="1">IFERROR(__xludf.DUMMYFUNCTION("IMPORTRANGE(""https://docs.google.com/spreadsheets/d/1SX6NBoVAgQJ6U1MVXOaj8PK2l7WJ3RER9xtqwdhxkhw/edit?usp=sharing"",""พระนครศรีอยุธยา!M352"")"),26475)</f>
        <v>26475</v>
      </c>
      <c r="O457" s="169">
        <f t="shared" ca="1" si="116"/>
        <v>25.590341881168023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IFERROR(__xludf.DUMMYFUNCTION("IMPORTRANGE(""https://docs.google.com/spreadsheets/d/1SX6NBoVAgQJ6U1MVXOaj8PK2l7WJ3RER9xtqwdhxkhw/edit?usp=sharing"",""พระนครศรีอยุธยา!L353"")"),0)</f>
        <v>0</v>
      </c>
      <c r="M458" s="169"/>
      <c r="N458" s="169">
        <f ca="1">IFERROR(__xludf.DUMMYFUNCTION("IMPORTRANGE(""https://docs.google.com/spreadsheets/d/1SX6NBoVAgQJ6U1MVXOaj8PK2l7WJ3RER9xtqwdhxkhw/edit?usp=sharing"",""พระนครศรีอยุธยา!M353"")"),0)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IFERROR(__xludf.DUMMYFUNCTION("IMPORTRANGE(""https://docs.google.com/spreadsheets/d/1SX6NBoVAgQJ6U1MVXOaj8PK2l7WJ3RER9xtqwdhxkhw/edit?usp=sharing"",""พระนครศรีอยุธยา!L354"")"),103457)</f>
        <v>103457</v>
      </c>
      <c r="M459" s="169"/>
      <c r="N459" s="169">
        <f ca="1">IFERROR(__xludf.DUMMYFUNCTION("IMPORTRANGE(""https://docs.google.com/spreadsheets/d/1SX6NBoVAgQJ6U1MVXOaj8PK2l7WJ3RER9xtqwdhxkhw/edit?usp=sharing"",""พระนครศรีอยุธยา!M354"")"),26475)</f>
        <v>26475</v>
      </c>
      <c r="O459" s="169">
        <f t="shared" ca="1" si="116"/>
        <v>25.590341881168023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IFERROR(__xludf.DUMMYFUNCTION("IMPORTRANGE(""https://docs.google.com/spreadsheets/d/1SX6NBoVAgQJ6U1MVXOaj8PK2l7WJ3RER9xtqwdhxkhw/edit?usp=sharing"",""พระนครศรีอยุธยา!M355"")"),0)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IFERROR(__xludf.DUMMYFUNCTION("IMPORTRANGE(""https://docs.google.com/spreadsheets/d/1SX6NBoVAgQJ6U1MVXOaj8PK2l7WJ3RER9xtqwdhxkhw/edit?usp=sharing"",""พระนครศรีอยุธยา!M356"")"),0)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IFERROR(__xludf.DUMMYFUNCTION("IMPORTRANGE(""https://docs.google.com/spreadsheets/d/1SX6NBoVAgQJ6U1MVXOaj8PK2l7WJ3RER9xtqwdhxkhw/edit?usp=sharing"",""พระนครศรีอยุธยา!M357"")"),0)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IFERROR(__xludf.DUMMYFUNCTION("IMPORTRANGE(""https://docs.google.com/spreadsheets/d/1SX6NBoVAgQJ6U1MVXOaj8PK2l7WJ3RER9xtqwdhxkhw/edit?usp=sharing"",""พระนครศรีอยุธยา!M358"")"),26475)</f>
        <v>26475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IFERROR(__xludf.DUMMYFUNCTION("IMPORTRANGE(""https://docs.google.com/spreadsheets/d/1SX6NBoVAgQJ6U1MVXOaj8PK2l7WJ3RER9xtqwdhxkhw/edit?usp=sharing"",""พระนครศรีอยุธยา!I359"")"),2217)</f>
        <v>2217</v>
      </c>
      <c r="J464" s="267">
        <f ca="1">IFERROR(__xludf.DUMMYFUNCTION("IMPORTRANGE(""https://docs.google.com/spreadsheets/d/1SX6NBoVAgQJ6U1MVXOaj8PK2l7WJ3RER9xtqwdhxkhw/edit?usp=sharing"",""พระนครศรีอยุธยา!J359"")"),0)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IFERROR(__xludf.DUMMYFUNCTION("IMPORTRANGE(""https://docs.google.com/spreadsheets/d/1SX6NBoVAgQJ6U1MVXOaj8PK2l7WJ3RER9xtqwdhxkhw/edit?usp=sharing"",""พระนครศรีอยุธยา!I360"")"),2217)</f>
        <v>2217</v>
      </c>
      <c r="J465" s="420">
        <f ca="1">IFERROR(__xludf.DUMMYFUNCTION("IMPORTRANGE(""https://docs.google.com/spreadsheets/d/1SX6NBoVAgQJ6U1MVXOaj8PK2l7WJ3RER9xtqwdhxkhw/edit?usp=sharing"",""พระนครศรีอยุธยา!J360"")"),2426.62)</f>
        <v>2426.62</v>
      </c>
      <c r="K465" s="202">
        <f t="shared" ca="1" si="117"/>
        <v>109.4551195308976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IFERROR(__xludf.DUMMYFUNCTION("IMPORTRANGE(""https://docs.google.com/spreadsheets/d/1SX6NBoVAgQJ6U1MVXOaj8PK2l7WJ3RER9xtqwdhxkhw/edit?usp=sharing"",""พระนครศรีอยุธยา!I361"")"),227)</f>
        <v>227</v>
      </c>
      <c r="J466" s="420">
        <f ca="1">IFERROR(__xludf.DUMMYFUNCTION("IMPORTRANGE(""https://docs.google.com/spreadsheets/d/1SX6NBoVAgQJ6U1MVXOaj8PK2l7WJ3RER9xtqwdhxkhw/edit?usp=sharing"",""พระนครศรีอยุธยา!J361"")"),258)</f>
        <v>258</v>
      </c>
      <c r="K466" s="202">
        <f t="shared" ca="1" si="117"/>
        <v>113.65638766519824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IFERROR(__xludf.DUMMYFUNCTION("IMPORTRANGE(""https://docs.google.com/spreadsheets/d/1SX6NBoVAgQJ6U1MVXOaj8PK2l7WJ3RER9xtqwdhxkhw/edit?usp=sharing"",""พระนครศรีอยุธยา!I362"")"),0)</f>
        <v>0</v>
      </c>
      <c r="J467" s="189">
        <f ca="1">IFERROR(__xludf.DUMMYFUNCTION("IMPORTRANGE(""https://docs.google.com/spreadsheets/d/1SX6NBoVAgQJ6U1MVXOaj8PK2l7WJ3RER9xtqwdhxkhw/edit?usp=sharing"",""พระนครศรีอยุธยา!J362"")"),2019.42)</f>
        <v>2019.42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IFERROR(__xludf.DUMMYFUNCTION("IMPORTRANGE(""https://docs.google.com/spreadsheets/d/1SX6NBoVAgQJ6U1MVXOaj8PK2l7WJ3RER9xtqwdhxkhw/edit?usp=sharing"",""พระนครศรีอยุธยา!I363"")"),0)</f>
        <v>0</v>
      </c>
      <c r="J468" s="189">
        <f ca="1">IFERROR(__xludf.DUMMYFUNCTION("IMPORTRANGE(""https://docs.google.com/spreadsheets/d/1SX6NBoVAgQJ6U1MVXOaj8PK2l7WJ3RER9xtqwdhxkhw/edit?usp=sharing"",""พระนครศรีอยุธยา!J363"")"),198)</f>
        <v>198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IFERROR(__xludf.DUMMYFUNCTION("IMPORTRANGE(""https://docs.google.com/spreadsheets/d/1SX6NBoVAgQJ6U1MVXOaj8PK2l7WJ3RER9xtqwdhxkhw/edit?usp=sharing"",""พระนครศรีอยุธยา!I364"")"),0)</f>
        <v>0</v>
      </c>
      <c r="J469" s="189">
        <f ca="1">IFERROR(__xludf.DUMMYFUNCTION("IMPORTRANGE(""https://docs.google.com/spreadsheets/d/1SX6NBoVAgQJ6U1MVXOaj8PK2l7WJ3RER9xtqwdhxkhw/edit?usp=sharing"",""พระนครศรีอยุธยา!J364"")"),41.68)</f>
        <v>41.68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IFERROR(__xludf.DUMMYFUNCTION("IMPORTRANGE(""https://docs.google.com/spreadsheets/d/1SX6NBoVAgQJ6U1MVXOaj8PK2l7WJ3RER9xtqwdhxkhw/edit?usp=sharing"",""พระนครศรีอยุธยา!I365"")"),0)</f>
        <v>0</v>
      </c>
      <c r="J470" s="189">
        <f ca="1">IFERROR(__xludf.DUMMYFUNCTION("IMPORTRANGE(""https://docs.google.com/spreadsheets/d/1SX6NBoVAgQJ6U1MVXOaj8PK2l7WJ3RER9xtqwdhxkhw/edit?usp=sharing"",""พระนครศรีอยุธยา!J365"")"),11)</f>
        <v>11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IFERROR(__xludf.DUMMYFUNCTION("IMPORTRANGE(""https://docs.google.com/spreadsheets/d/1SX6NBoVAgQJ6U1MVXOaj8PK2l7WJ3RER9xtqwdhxkhw/edit?usp=sharing"",""พระนครศรีอยุธยา!I366"")"),0)</f>
        <v>0</v>
      </c>
      <c r="J471" s="189">
        <f ca="1">IFERROR(__xludf.DUMMYFUNCTION("IMPORTRANGE(""https://docs.google.com/spreadsheets/d/1SX6NBoVAgQJ6U1MVXOaj8PK2l7WJ3RER9xtqwdhxkhw/edit?usp=sharing"",""พระนครศรีอยุธยา!J366"")"),365.52)</f>
        <v>365.52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IFERROR(__xludf.DUMMYFUNCTION("IMPORTRANGE(""https://docs.google.com/spreadsheets/d/1SX6NBoVAgQJ6U1MVXOaj8PK2l7WJ3RER9xtqwdhxkhw/edit?usp=sharing"",""พระนครศรีอยุธยา!I367"")"),0)</f>
        <v>0</v>
      </c>
      <c r="J472" s="189">
        <f ca="1">IFERROR(__xludf.DUMMYFUNCTION("IMPORTRANGE(""https://docs.google.com/spreadsheets/d/1SX6NBoVAgQJ6U1MVXOaj8PK2l7WJ3RER9xtqwdhxkhw/edit?usp=sharing"",""พระนครศรีอยุธยา!J367"")"),49)</f>
        <v>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IFERROR(__xludf.DUMMYFUNCTION("IMPORTRANGE(""https://docs.google.com/spreadsheets/d/1SX6NBoVAgQJ6U1MVXOaj8PK2l7WJ3RER9xtqwdhxkhw/edit?usp=sharing"",""พระนครศรีอยุธยา!I368"")"),2217)</f>
        <v>2217</v>
      </c>
      <c r="J473" s="420">
        <f ca="1">IFERROR(__xludf.DUMMYFUNCTION("IMPORTRANGE(""https://docs.google.com/spreadsheets/d/1SX6NBoVAgQJ6U1MVXOaj8PK2l7WJ3RER9xtqwdhxkhw/edit?usp=sharing"",""พระนครศรีอยุธยา!J368"")"),2426.62999999999)</f>
        <v>2426.6299999999901</v>
      </c>
      <c r="K473" s="202">
        <f t="shared" ca="1" si="117"/>
        <v>109.45557059088814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IFERROR(__xludf.DUMMYFUNCTION("IMPORTRANGE(""https://docs.google.com/spreadsheets/d/1SX6NBoVAgQJ6U1MVXOaj8PK2l7WJ3RER9xtqwdhxkhw/edit?usp=sharing"",""พระนครศรีอยุธยา!I369"")"),227)</f>
        <v>227</v>
      </c>
      <c r="J474" s="420">
        <f ca="1">IFERROR(__xludf.DUMMYFUNCTION("IMPORTRANGE(""https://docs.google.com/spreadsheets/d/1SX6NBoVAgQJ6U1MVXOaj8PK2l7WJ3RER9xtqwdhxkhw/edit?usp=sharing"",""พระนครศรีอยุธยา!J369"")"),258)</f>
        <v>258</v>
      </c>
      <c r="K474" s="163">
        <f t="shared" ca="1" si="117"/>
        <v>113.65638766519824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IFERROR(__xludf.DUMMYFUNCTION("IMPORTRANGE(""https://docs.google.com/spreadsheets/d/1SX6NBoVAgQJ6U1MVXOaj8PK2l7WJ3RER9xtqwdhxkhw/edit?usp=sharing"",""พระนครศรีอยุธยา!I370"")"),0)</f>
        <v>0</v>
      </c>
      <c r="J475" s="189">
        <f ca="1">IFERROR(__xludf.DUMMYFUNCTION("IMPORTRANGE(""https://docs.google.com/spreadsheets/d/1SX6NBoVAgQJ6U1MVXOaj8PK2l7WJ3RER9xtqwdhxkhw/edit?usp=sharing"",""พระนครศรีอยุธยา!J370"")"),1817.56)</f>
        <v>1817.56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IFERROR(__xludf.DUMMYFUNCTION("IMPORTRANGE(""https://docs.google.com/spreadsheets/d/1SX6NBoVAgQJ6U1MVXOaj8PK2l7WJ3RER9xtqwdhxkhw/edit?usp=sharing"",""พระนครศรีอยุธยา!I371"")"),0)</f>
        <v>0</v>
      </c>
      <c r="J476" s="189">
        <f ca="1">IFERROR(__xludf.DUMMYFUNCTION("IMPORTRANGE(""https://docs.google.com/spreadsheets/d/1SX6NBoVAgQJ6U1MVXOaj8PK2l7WJ3RER9xtqwdhxkhw/edit?usp=sharing"",""พระนครศรีอยุธยา!J371"")"),178)</f>
        <v>178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IFERROR(__xludf.DUMMYFUNCTION("IMPORTRANGE(""https://docs.google.com/spreadsheets/d/1SX6NBoVAgQJ6U1MVXOaj8PK2l7WJ3RER9xtqwdhxkhw/edit?usp=sharing"",""พระนครศรีอยุธยา!I372"")"),0)</f>
        <v>0</v>
      </c>
      <c r="J477" s="189">
        <f ca="1">IFERROR(__xludf.DUMMYFUNCTION("IMPORTRANGE(""https://docs.google.com/spreadsheets/d/1SX6NBoVAgQJ6U1MVXOaj8PK2l7WJ3RER9xtqwdhxkhw/edit?usp=sharing"",""พระนครศรีอยุธยา!J372"")"),375.51)</f>
        <v>375.51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IFERROR(__xludf.DUMMYFUNCTION("IMPORTRANGE(""https://docs.google.com/spreadsheets/d/1SX6NBoVAgQJ6U1MVXOaj8PK2l7WJ3RER9xtqwdhxkhw/edit?usp=sharing"",""พระนครศรีอยุธยา!I373"")"),0)</f>
        <v>0</v>
      </c>
      <c r="J478" s="189">
        <f ca="1">IFERROR(__xludf.DUMMYFUNCTION("IMPORTRANGE(""https://docs.google.com/spreadsheets/d/1SX6NBoVAgQJ6U1MVXOaj8PK2l7WJ3RER9xtqwdhxkhw/edit?usp=sharing"",""พระนครศรีอยุธยา!J373"")"),52)</f>
        <v>52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IFERROR(__xludf.DUMMYFUNCTION("IMPORTRANGE(""https://docs.google.com/spreadsheets/d/1SX6NBoVAgQJ6U1MVXOaj8PK2l7WJ3RER9xtqwdhxkhw/edit?usp=sharing"",""พระนครศรีอยุธยา!I374"")"),0)</f>
        <v>0</v>
      </c>
      <c r="J479" s="189">
        <f ca="1">IFERROR(__xludf.DUMMYFUNCTION("IMPORTRANGE(""https://docs.google.com/spreadsheets/d/1SX6NBoVAgQJ6U1MVXOaj8PK2l7WJ3RER9xtqwdhxkhw/edit?usp=sharing"",""พระนครศรีอยุธยา!J374"")"),233.56)</f>
        <v>233.56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IFERROR(__xludf.DUMMYFUNCTION("IMPORTRANGE(""https://docs.google.com/spreadsheets/d/1SX6NBoVAgQJ6U1MVXOaj8PK2l7WJ3RER9xtqwdhxkhw/edit?usp=sharing"",""พระนครศรีอยุธยา!I375"")"),0)</f>
        <v>0</v>
      </c>
      <c r="J480" s="189">
        <f ca="1">IFERROR(__xludf.DUMMYFUNCTION("IMPORTRANGE(""https://docs.google.com/spreadsheets/d/1SX6NBoVAgQJ6U1MVXOaj8PK2l7WJ3RER9xtqwdhxkhw/edit?usp=sharing"",""พระนครศรีอยุธยา!J375"")"),28)</f>
        <v>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IFERROR(__xludf.DUMMYFUNCTION("IMPORTRANGE(""https://docs.google.com/spreadsheets/d/1SX6NBoVAgQJ6U1MVXOaj8PK2l7WJ3RER9xtqwdhxkhw/edit?usp=sharing"",""พระนครศรีอยุธยา!I376"")"),2217)</f>
        <v>2217</v>
      </c>
      <c r="J481" s="420">
        <f ca="1">IFERROR(__xludf.DUMMYFUNCTION("IMPORTRANGE(""https://docs.google.com/spreadsheets/d/1SX6NBoVAgQJ6U1MVXOaj8PK2l7WJ3RER9xtqwdhxkhw/edit?usp=sharing"",""พระนครศรีอยุธยา!J376"")"),0)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IFERROR(__xludf.DUMMYFUNCTION("IMPORTRANGE(""https://docs.google.com/spreadsheets/d/1SX6NBoVAgQJ6U1MVXOaj8PK2l7WJ3RER9xtqwdhxkhw/edit?usp=sharing"",""พระนครศรีอยุธยา!I377"")"),227)</f>
        <v>227</v>
      </c>
      <c r="J482" s="420">
        <f ca="1">IFERROR(__xludf.DUMMYFUNCTION("IMPORTRANGE(""https://docs.google.com/spreadsheets/d/1SX6NBoVAgQJ6U1MVXOaj8PK2l7WJ3RER9xtqwdhxkhw/edit?usp=sharing"",""พระนครศรีอยุธยา!J377"")"),0)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IFERROR(__xludf.DUMMYFUNCTION("IMPORTRANGE(""https://docs.google.com/spreadsheets/d/1SX6NBoVAgQJ6U1MVXOaj8PK2l7WJ3RER9xtqwdhxkhw/edit?usp=sharing"",""พระนครศรีอยุธยา!I378"")"),0)</f>
        <v>0</v>
      </c>
      <c r="J483" s="189">
        <f ca="1">IFERROR(__xludf.DUMMYFUNCTION("IMPORTRANGE(""https://docs.google.com/spreadsheets/d/1SX6NBoVAgQJ6U1MVXOaj8PK2l7WJ3RER9xtqwdhxkhw/edit?usp=sharing"",""พระนครศรีอยุธยา!J378"")"),0)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IFERROR(__xludf.DUMMYFUNCTION("IMPORTRANGE(""https://docs.google.com/spreadsheets/d/1SX6NBoVAgQJ6U1MVXOaj8PK2l7WJ3RER9xtqwdhxkhw/edit?usp=sharing"",""พระนครศรีอยุธยา!I379"")"),0)</f>
        <v>0</v>
      </c>
      <c r="J484" s="189">
        <f ca="1">IFERROR(__xludf.DUMMYFUNCTION("IMPORTRANGE(""https://docs.google.com/spreadsheets/d/1SX6NBoVAgQJ6U1MVXOaj8PK2l7WJ3RER9xtqwdhxkhw/edit?usp=sharing"",""พระนครศรีอยุธยา!J379"")"),0)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IFERROR(__xludf.DUMMYFUNCTION("IMPORTRANGE(""https://docs.google.com/spreadsheets/d/1SX6NBoVAgQJ6U1MVXOaj8PK2l7WJ3RER9xtqwdhxkhw/edit?usp=sharing"",""พระนครศรีอยุธยา!I380"")"),0)</f>
        <v>0</v>
      </c>
      <c r="J485" s="189">
        <f ca="1">IFERROR(__xludf.DUMMYFUNCTION("IMPORTRANGE(""https://docs.google.com/spreadsheets/d/1SX6NBoVAgQJ6U1MVXOaj8PK2l7WJ3RER9xtqwdhxkhw/edit?usp=sharing"",""พระนครศรีอยุธยา!J380"")"),0)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IFERROR(__xludf.DUMMYFUNCTION("IMPORTRANGE(""https://docs.google.com/spreadsheets/d/1SX6NBoVAgQJ6U1MVXOaj8PK2l7WJ3RER9xtqwdhxkhw/edit?usp=sharing"",""พระนครศรีอยุธยา!I381"")"),0)</f>
        <v>0</v>
      </c>
      <c r="J486" s="189">
        <f ca="1">IFERROR(__xludf.DUMMYFUNCTION("IMPORTRANGE(""https://docs.google.com/spreadsheets/d/1SX6NBoVAgQJ6U1MVXOaj8PK2l7WJ3RER9xtqwdhxkhw/edit?usp=sharing"",""พระนครศรีอยุธยา!J381"")"),0)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IFERROR(__xludf.DUMMYFUNCTION("IMPORTRANGE(""https://docs.google.com/spreadsheets/d/1SX6NBoVAgQJ6U1MVXOaj8PK2l7WJ3RER9xtqwdhxkhw/edit?usp=sharing"",""พระนครศรีอยุธยา!I382"")"),0)</f>
        <v>0</v>
      </c>
      <c r="J487" s="420">
        <f ca="1">IFERROR(__xludf.DUMMYFUNCTION("IMPORTRANGE(""https://docs.google.com/spreadsheets/d/1SX6NBoVAgQJ6U1MVXOaj8PK2l7WJ3RER9xtqwdhxkhw/edit?usp=sharing"",""พระนครศรีอยุธยา!J382"")"),0)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IFERROR(__xludf.DUMMYFUNCTION("IMPORTRANGE(""https://docs.google.com/spreadsheets/d/1SX6NBoVAgQJ6U1MVXOaj8PK2l7WJ3RER9xtqwdhxkhw/edit?usp=sharing"",""พระนครศรีอยุธยา!I383"")"),0)</f>
        <v>0</v>
      </c>
      <c r="J488" s="420">
        <f ca="1">IFERROR(__xludf.DUMMYFUNCTION("IMPORTRANGE(""https://docs.google.com/spreadsheets/d/1SX6NBoVAgQJ6U1MVXOaj8PK2l7WJ3RER9xtqwdhxkhw/edit?usp=sharing"",""พระนครศรีอยุธยา!J383"")"),0)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IFERROR(__xludf.DUMMYFUNCTION("IMPORTRANGE(""https://docs.google.com/spreadsheets/d/1SX6NBoVAgQJ6U1MVXOaj8PK2l7WJ3RER9xtqwdhxkhw/edit?usp=sharing"",""พระนครศรีอยุธยา!I384"")"),0)</f>
        <v>0</v>
      </c>
      <c r="J489" s="189">
        <f ca="1">IFERROR(__xludf.DUMMYFUNCTION("IMPORTRANGE(""https://docs.google.com/spreadsheets/d/1SX6NBoVAgQJ6U1MVXOaj8PK2l7WJ3RER9xtqwdhxkhw/edit?usp=sharing"",""พระนครศรีอยุธยา!J384"")"),0)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IFERROR(__xludf.DUMMYFUNCTION("IMPORTRANGE(""https://docs.google.com/spreadsheets/d/1SX6NBoVAgQJ6U1MVXOaj8PK2l7WJ3RER9xtqwdhxkhw/edit?usp=sharing"",""พระนครศรีอยุธยา!I385"")"),0)</f>
        <v>0</v>
      </c>
      <c r="J490" s="189">
        <f ca="1">IFERROR(__xludf.DUMMYFUNCTION("IMPORTRANGE(""https://docs.google.com/spreadsheets/d/1SX6NBoVAgQJ6U1MVXOaj8PK2l7WJ3RER9xtqwdhxkhw/edit?usp=sharing"",""พระนครศรีอยุธยา!J385"")"),0)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IFERROR(__xludf.DUMMYFUNCTION("IMPORTRANGE(""https://docs.google.com/spreadsheets/d/1SX6NBoVAgQJ6U1MVXOaj8PK2l7WJ3RER9xtqwdhxkhw/edit?usp=sharing"",""พระนครศรีอยุธยา!I386"")"),0)</f>
        <v>0</v>
      </c>
      <c r="J491" s="189">
        <f ca="1">IFERROR(__xludf.DUMMYFUNCTION("IMPORTRANGE(""https://docs.google.com/spreadsheets/d/1SX6NBoVAgQJ6U1MVXOaj8PK2l7WJ3RER9xtqwdhxkhw/edit?usp=sharing"",""พระนครศรีอยุธยา!J386"")"),0)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IFERROR(__xludf.DUMMYFUNCTION("IMPORTRANGE(""https://docs.google.com/spreadsheets/d/1SX6NBoVAgQJ6U1MVXOaj8PK2l7WJ3RER9xtqwdhxkhw/edit?usp=sharing"",""พระนครศรีอยุธยา!I387"")"),0)</f>
        <v>0</v>
      </c>
      <c r="J492" s="189">
        <f ca="1">IFERROR(__xludf.DUMMYFUNCTION("IMPORTRANGE(""https://docs.google.com/spreadsheets/d/1SX6NBoVAgQJ6U1MVXOaj8PK2l7WJ3RER9xtqwdhxkhw/edit?usp=sharing"",""พระนครศรีอยุธยา!J387"")"),0)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IFERROR(__xludf.DUMMYFUNCTION("IMPORTRANGE(""https://docs.google.com/spreadsheets/d/1SX6NBoVAgQJ6U1MVXOaj8PK2l7WJ3RER9xtqwdhxkhw/edit?usp=sharing"",""พระนครศรีอยุธยา!I388"")"),0)</f>
        <v>0</v>
      </c>
      <c r="J493" s="189">
        <f ca="1">IFERROR(__xludf.DUMMYFUNCTION("IMPORTRANGE(""https://docs.google.com/spreadsheets/d/1SX6NBoVAgQJ6U1MVXOaj8PK2l7WJ3RER9xtqwdhxkhw/edit?usp=sharing"",""พระนครศรีอยุธยา!J388"")"),0)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IFERROR(__xludf.DUMMYFUNCTION("IMPORTRANGE(""https://docs.google.com/spreadsheets/d/1SX6NBoVAgQJ6U1MVXOaj8PK2l7WJ3RER9xtqwdhxkhw/edit?usp=sharing"",""พระนครศรีอยุธยา!I389"")"),0)</f>
        <v>0</v>
      </c>
      <c r="J494" s="436">
        <f ca="1">IFERROR(__xludf.DUMMYFUNCTION("IMPORTRANGE(""https://docs.google.com/spreadsheets/d/1SX6NBoVAgQJ6U1MVXOaj8PK2l7WJ3RER9xtqwdhxkhw/edit?usp=sharing"",""พระนครศรีอยุธยา!J389"")"),0)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IFERROR(__xludf.DUMMYFUNCTION("IMPORTRANGE(""https://docs.google.com/spreadsheets/d/1SX6NBoVAgQJ6U1MVXOaj8PK2l7WJ3RER9xtqwdhxkhw/edit?usp=sharing"",""พระนครศรีอยุธยา!I390"")"),0)</f>
        <v>0</v>
      </c>
      <c r="J495" s="436">
        <f ca="1">IFERROR(__xludf.DUMMYFUNCTION("IMPORTRANGE(""https://docs.google.com/spreadsheets/d/1SX6NBoVAgQJ6U1MVXOaj8PK2l7WJ3RER9xtqwdhxkhw/edit?usp=sharing"",""พระนครศรีอยุธยา!J390"")"),0)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IFERROR(__xludf.DUMMYFUNCTION("IMPORTRANGE(""https://docs.google.com/spreadsheets/d/1SX6NBoVAgQJ6U1MVXOaj8PK2l7WJ3RER9xtqwdhxkhw/edit?usp=sharing"",""พระนครศรีอยุธยา!I391"")"),0)</f>
        <v>0</v>
      </c>
      <c r="J496" s="436">
        <f ca="1">IFERROR(__xludf.DUMMYFUNCTION("IMPORTRANGE(""https://docs.google.com/spreadsheets/d/1SX6NBoVAgQJ6U1MVXOaj8PK2l7WJ3RER9xtqwdhxkhw/edit?usp=sharing"",""พระนครศรีอยุธยา!J391"")"),0)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IFERROR(__xludf.DUMMYFUNCTION("IMPORTRANGE(""https://docs.google.com/spreadsheets/d/1SX6NBoVAgQJ6U1MVXOaj8PK2l7WJ3RER9xtqwdhxkhw/edit?usp=sharing"",""พระนครศรีอยุธยา!I392"")"),311)</f>
        <v>311</v>
      </c>
      <c r="J497" s="443">
        <f ca="1">IFERROR(__xludf.DUMMYFUNCTION("IMPORTRANGE(""https://docs.google.com/spreadsheets/d/1SX6NBoVAgQJ6U1MVXOaj8PK2l7WJ3RER9xtqwdhxkhw/edit?usp=sharing"",""พระนครศรีอยุธยา!J392"")"),0)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IFERROR(__xludf.DUMMYFUNCTION("IMPORTRANGE(""https://docs.google.com/spreadsheets/d/1SX6NBoVAgQJ6U1MVXOaj8PK2l7WJ3RER9xtqwdhxkhw/edit?usp=sharing"",""พระนครศรีอยุธยา!I393"")"),311)</f>
        <v>311</v>
      </c>
      <c r="J498" s="420">
        <f ca="1">IFERROR(__xludf.DUMMYFUNCTION("IMPORTRANGE(""https://docs.google.com/spreadsheets/d/1SX6NBoVAgQJ6U1MVXOaj8PK2l7WJ3RER9xtqwdhxkhw/edit?usp=sharing"",""พระนครศรีอยุธยา!J393"")"),0)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IFERROR(__xludf.DUMMYFUNCTION("IMPORTRANGE(""https://docs.google.com/spreadsheets/d/1SX6NBoVAgQJ6U1MVXOaj8PK2l7WJ3RER9xtqwdhxkhw/edit?usp=sharing"",""พระนครศรีอยุธยา!I394"")"),57)</f>
        <v>57</v>
      </c>
      <c r="J499" s="420">
        <f ca="1">IFERROR(__xludf.DUMMYFUNCTION("IMPORTRANGE(""https://docs.google.com/spreadsheets/d/1SX6NBoVAgQJ6U1MVXOaj8PK2l7WJ3RER9xtqwdhxkhw/edit?usp=sharing"",""พระนครศรีอยุธยา!J394"")"),0)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IFERROR(__xludf.DUMMYFUNCTION("IMPORTRANGE(""https://docs.google.com/spreadsheets/d/1SX6NBoVAgQJ6U1MVXOaj8PK2l7WJ3RER9xtqwdhxkhw/edit?usp=sharing"",""พระนครศรีอยุธยา!I395"")"),0)</f>
        <v>0</v>
      </c>
      <c r="J500" s="162">
        <f ca="1">IFERROR(__xludf.DUMMYFUNCTION("IMPORTRANGE(""https://docs.google.com/spreadsheets/d/1SX6NBoVAgQJ6U1MVXOaj8PK2l7WJ3RER9xtqwdhxkhw/edit?usp=sharing"",""พระนครศรีอยุธยา!J395"")"),0)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IFERROR(__xludf.DUMMYFUNCTION("IMPORTRANGE(""https://docs.google.com/spreadsheets/d/1SX6NBoVAgQJ6U1MVXOaj8PK2l7WJ3RER9xtqwdhxkhw/edit?usp=sharing"",""พระนครศรีอยุธยา!I396"")"),0)</f>
        <v>0</v>
      </c>
      <c r="J501" s="162">
        <f ca="1">IFERROR(__xludf.DUMMYFUNCTION("IMPORTRANGE(""https://docs.google.com/spreadsheets/d/1SX6NBoVAgQJ6U1MVXOaj8PK2l7WJ3RER9xtqwdhxkhw/edit?usp=sharing"",""พระนครศรีอยุธยา!J396"")"),0)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IFERROR(__xludf.DUMMYFUNCTION("IMPORTRANGE(""https://docs.google.com/spreadsheets/d/1SX6NBoVAgQJ6U1MVXOaj8PK2l7WJ3RER9xtqwdhxkhw/edit?usp=sharing"",""พระนครศรีอยุธยา!I397"")"),0)</f>
        <v>0</v>
      </c>
      <c r="J502" s="189">
        <f ca="1">IFERROR(__xludf.DUMMYFUNCTION("IMPORTRANGE(""https://docs.google.com/spreadsheets/d/1SX6NBoVAgQJ6U1MVXOaj8PK2l7WJ3RER9xtqwdhxkhw/edit?usp=sharing"",""พระนครศรีอยุธยา!J397"")"),0)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IFERROR(__xludf.DUMMYFUNCTION("IMPORTRANGE(""https://docs.google.com/spreadsheets/d/1SX6NBoVAgQJ6U1MVXOaj8PK2l7WJ3RER9xtqwdhxkhw/edit?usp=sharing"",""พระนครศรีอยุธยา!I398"")"),0)</f>
        <v>0</v>
      </c>
      <c r="J503" s="198">
        <f ca="1">IFERROR(__xludf.DUMMYFUNCTION("IMPORTRANGE(""https://docs.google.com/spreadsheets/d/1SX6NBoVAgQJ6U1MVXOaj8PK2l7WJ3RER9xtqwdhxkhw/edit?usp=sharing"",""พระนครศรีอยุธยา!J398"")"),0)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IFERROR(__xludf.DUMMYFUNCTION("IMPORTRANGE(""https://docs.google.com/spreadsheets/d/1SX6NBoVAgQJ6U1MVXOaj8PK2l7WJ3RER9xtqwdhxkhw/edit?usp=sharing"",""พระนครศรีอยุธยา!I399"")"),0)</f>
        <v>0</v>
      </c>
      <c r="J504" s="189">
        <f ca="1">IFERROR(__xludf.DUMMYFUNCTION("IMPORTRANGE(""https://docs.google.com/spreadsheets/d/1SX6NBoVAgQJ6U1MVXOaj8PK2l7WJ3RER9xtqwdhxkhw/edit?usp=sharing"",""พระนครศรีอยุธยา!J399"")"),0)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IFERROR(__xludf.DUMMYFUNCTION("IMPORTRANGE(""https://docs.google.com/spreadsheets/d/1SX6NBoVAgQJ6U1MVXOaj8PK2l7WJ3RER9xtqwdhxkhw/edit?usp=sharing"",""พระนครศรีอยุธยา!I400"")"),0)</f>
        <v>0</v>
      </c>
      <c r="J505" s="198">
        <f ca="1">IFERROR(__xludf.DUMMYFUNCTION("IMPORTRANGE(""https://docs.google.com/spreadsheets/d/1SX6NBoVAgQJ6U1MVXOaj8PK2l7WJ3RER9xtqwdhxkhw/edit?usp=sharing"",""พระนครศรีอยุธยา!J400"")"),0)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IFERROR(__xludf.DUMMYFUNCTION("IMPORTRANGE(""https://docs.google.com/spreadsheets/d/1SX6NBoVAgQJ6U1MVXOaj8PK2l7WJ3RER9xtqwdhxkhw/edit?usp=sharing"",""พระนครศรีอยุธยา!I401"")"),0)</f>
        <v>0</v>
      </c>
      <c r="J506" s="189">
        <f ca="1">IFERROR(__xludf.DUMMYFUNCTION("IMPORTRANGE(""https://docs.google.com/spreadsheets/d/1SX6NBoVAgQJ6U1MVXOaj8PK2l7WJ3RER9xtqwdhxkhw/edit?usp=sharing"",""พระนครศรีอยุธยา!J401"")"),0)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IFERROR(__xludf.DUMMYFUNCTION("IMPORTRANGE(""https://docs.google.com/spreadsheets/d/1SX6NBoVAgQJ6U1MVXOaj8PK2l7WJ3RER9xtqwdhxkhw/edit?usp=sharing"",""พระนครศรีอยุธยา!I402"")"),0)</f>
        <v>0</v>
      </c>
      <c r="J507" s="198">
        <f ca="1">IFERROR(__xludf.DUMMYFUNCTION("IMPORTRANGE(""https://docs.google.com/spreadsheets/d/1SX6NBoVAgQJ6U1MVXOaj8PK2l7WJ3RER9xtqwdhxkhw/edit?usp=sharing"",""พระนครศรีอยุธยา!J402"")"),0)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IFERROR(__xludf.DUMMYFUNCTION("IMPORTRANGE(""https://docs.google.com/spreadsheets/d/1SX6NBoVAgQJ6U1MVXOaj8PK2l7WJ3RER9xtqwdhxkhw/edit?usp=sharing"",""พระนครศรีอยุธยา!I403"")"),0)</f>
        <v>0</v>
      </c>
      <c r="J508" s="162">
        <f ca="1">IFERROR(__xludf.DUMMYFUNCTION("IMPORTRANGE(""https://docs.google.com/spreadsheets/d/1SX6NBoVAgQJ6U1MVXOaj8PK2l7WJ3RER9xtqwdhxkhw/edit?usp=sharing"",""พระนครศรีอยุธยา!J403"")"),0)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IFERROR(__xludf.DUMMYFUNCTION("IMPORTRANGE(""https://docs.google.com/spreadsheets/d/1SX6NBoVAgQJ6U1MVXOaj8PK2l7WJ3RER9xtqwdhxkhw/edit?usp=sharing"",""พระนครศรีอยุธยา!I404"")"),0)</f>
        <v>0</v>
      </c>
      <c r="J509" s="162">
        <f ca="1">IFERROR(__xludf.DUMMYFUNCTION("IMPORTRANGE(""https://docs.google.com/spreadsheets/d/1SX6NBoVAgQJ6U1MVXOaj8PK2l7WJ3RER9xtqwdhxkhw/edit?usp=sharing"",""พระนครศรีอยุธยา!J404"")"),0)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IFERROR(__xludf.DUMMYFUNCTION("IMPORTRANGE(""https://docs.google.com/spreadsheets/d/1SX6NBoVAgQJ6U1MVXOaj8PK2l7WJ3RER9xtqwdhxkhw/edit?usp=sharing"",""พระนครศรีอยุธยา!I405"")"),0)</f>
        <v>0</v>
      </c>
      <c r="J510" s="198">
        <f ca="1">IFERROR(__xludf.DUMMYFUNCTION("IMPORTRANGE(""https://docs.google.com/spreadsheets/d/1SX6NBoVAgQJ6U1MVXOaj8PK2l7WJ3RER9xtqwdhxkhw/edit?usp=sharing"",""พระนครศรีอยุธยา!J405"")"),0)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IFERROR(__xludf.DUMMYFUNCTION("IMPORTRANGE(""https://docs.google.com/spreadsheets/d/1SX6NBoVAgQJ6U1MVXOaj8PK2l7WJ3RER9xtqwdhxkhw/edit?usp=sharing"",""พระนครศรีอยุธยา!I406"")"),0)</f>
        <v>0</v>
      </c>
      <c r="J511" s="198">
        <f ca="1">IFERROR(__xludf.DUMMYFUNCTION("IMPORTRANGE(""https://docs.google.com/spreadsheets/d/1SX6NBoVAgQJ6U1MVXOaj8PK2l7WJ3RER9xtqwdhxkhw/edit?usp=sharing"",""พระนครศรีอยุธยา!J406"")"),0)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IFERROR(__xludf.DUMMYFUNCTION("IMPORTRANGE(""https://docs.google.com/spreadsheets/d/1SX6NBoVAgQJ6U1MVXOaj8PK2l7WJ3RER9xtqwdhxkhw/edit?usp=sharing"",""พระนครศรีอยุธยา!I407"")"),0)</f>
        <v>0</v>
      </c>
      <c r="J512" s="198">
        <f ca="1">IFERROR(__xludf.DUMMYFUNCTION("IMPORTRANGE(""https://docs.google.com/spreadsheets/d/1SX6NBoVAgQJ6U1MVXOaj8PK2l7WJ3RER9xtqwdhxkhw/edit?usp=sharing"",""พระนครศรีอยุธยา!J407"")"),0)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IFERROR(__xludf.DUMMYFUNCTION("IMPORTRANGE(""https://docs.google.com/spreadsheets/d/1SX6NBoVAgQJ6U1MVXOaj8PK2l7WJ3RER9xtqwdhxkhw/edit?usp=sharing"",""พระนครศรีอยุธยา!I408"")"),0)</f>
        <v>0</v>
      </c>
      <c r="J513" s="198">
        <f ca="1">IFERROR(__xludf.DUMMYFUNCTION("IMPORTRANGE(""https://docs.google.com/spreadsheets/d/1SX6NBoVAgQJ6U1MVXOaj8PK2l7WJ3RER9xtqwdhxkhw/edit?usp=sharing"",""พระนครศรีอยุธยา!J408"")"),0)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IFERROR(__xludf.DUMMYFUNCTION("IMPORTRANGE(""https://docs.google.com/spreadsheets/d/1SX6NBoVAgQJ6U1MVXOaj8PK2l7WJ3RER9xtqwdhxkhw/edit?usp=sharing"",""พระนครศรีอยุธยา!I409"")"),0)</f>
        <v>0</v>
      </c>
      <c r="J514" s="198">
        <f ca="1">IFERROR(__xludf.DUMMYFUNCTION("IMPORTRANGE(""https://docs.google.com/spreadsheets/d/1SX6NBoVAgQJ6U1MVXOaj8PK2l7WJ3RER9xtqwdhxkhw/edit?usp=sharing"",""พระนครศรีอยุธยา!J409"")"),0)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IFERROR(__xludf.DUMMYFUNCTION("IMPORTRANGE(""https://docs.google.com/spreadsheets/d/1SX6NBoVAgQJ6U1MVXOaj8PK2l7WJ3RER9xtqwdhxkhw/edit?usp=sharing"",""พระนครศรีอยุธยา!I410"")"),0)</f>
        <v>0</v>
      </c>
      <c r="J515" s="198">
        <f ca="1">IFERROR(__xludf.DUMMYFUNCTION("IMPORTRANGE(""https://docs.google.com/spreadsheets/d/1SX6NBoVAgQJ6U1MVXOaj8PK2l7WJ3RER9xtqwdhxkhw/edit?usp=sharing"",""พระนครศรีอยุธยา!J410"")"),0)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IFERROR(__xludf.DUMMYFUNCTION("IMPORTRANGE(""https://docs.google.com/spreadsheets/d/1SX6NBoVAgQJ6U1MVXOaj8PK2l7WJ3RER9xtqwdhxkhw/edit?usp=sharing"",""พระนครศรีอยุธยา!I411"")"),0)</f>
        <v>0</v>
      </c>
      <c r="J516" s="267">
        <f ca="1">IFERROR(__xludf.DUMMYFUNCTION("IMPORTRANGE(""https://docs.google.com/spreadsheets/d/1SX6NBoVAgQJ6U1MVXOaj8PK2l7WJ3RER9xtqwdhxkhw/edit?usp=sharing"",""พระนครศรีอยุธยา!J411"")"),0)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IFERROR(__xludf.DUMMYFUNCTION("IMPORTRANGE(""https://docs.google.com/spreadsheets/d/1SX6NBoVAgQJ6U1MVXOaj8PK2l7WJ3RER9xtqwdhxkhw/edit?usp=sharing"",""พระนครศรีอยุธยา!I412"")"),0)</f>
        <v>0</v>
      </c>
      <c r="J517" s="284">
        <f ca="1">IFERROR(__xludf.DUMMYFUNCTION("IMPORTRANGE(""https://docs.google.com/spreadsheets/d/1SX6NBoVAgQJ6U1MVXOaj8PK2l7WJ3RER9xtqwdhxkhw/edit?usp=sharing"",""พระนครศรีอยุธยา!J412"")"),0)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IFERROR(__xludf.DUMMYFUNCTION("IMPORTRANGE(""https://docs.google.com/spreadsheets/d/1SX6NBoVAgQJ6U1MVXOaj8PK2l7WJ3RER9xtqwdhxkhw/edit?usp=sharing"",""พระนครศรีอยุธยา!I413"")"),0)</f>
        <v>0</v>
      </c>
      <c r="J518" s="284">
        <f ca="1">IFERROR(__xludf.DUMMYFUNCTION("IMPORTRANGE(""https://docs.google.com/spreadsheets/d/1SX6NBoVAgQJ6U1MVXOaj8PK2l7WJ3RER9xtqwdhxkhw/edit?usp=sharing"",""พระนครศรีอยุธยา!J413"")"),0)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IFERROR(__xludf.DUMMYFUNCTION("IMPORTRANGE(""https://docs.google.com/spreadsheets/d/1SX6NBoVAgQJ6U1MVXOaj8PK2l7WJ3RER9xtqwdhxkhw/edit?usp=sharing"",""พระนครศรีอยุธยา!I414"")"),0)</f>
        <v>0</v>
      </c>
      <c r="J519" s="188">
        <f ca="1">IFERROR(__xludf.DUMMYFUNCTION("IMPORTRANGE(""https://docs.google.com/spreadsheets/d/1SX6NBoVAgQJ6U1MVXOaj8PK2l7WJ3RER9xtqwdhxkhw/edit?usp=sharing"",""พระนครศรีอยุธยา!J414"")"),0)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IFERROR(__xludf.DUMMYFUNCTION("IMPORTRANGE(""https://docs.google.com/spreadsheets/d/1SX6NBoVAgQJ6U1MVXOaj8PK2l7WJ3RER9xtqwdhxkhw/edit?usp=sharing"",""พระนครศรีอยุธยา!I415"")"),0)</f>
        <v>0</v>
      </c>
      <c r="J520" s="188">
        <f ca="1">IFERROR(__xludf.DUMMYFUNCTION("IMPORTRANGE(""https://docs.google.com/spreadsheets/d/1SX6NBoVAgQJ6U1MVXOaj8PK2l7WJ3RER9xtqwdhxkhw/edit?usp=sharing"",""พระนครศรีอยุธยา!J415"")"),0)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IFERROR(__xludf.DUMMYFUNCTION("IMPORTRANGE(""https://docs.google.com/spreadsheets/d/1SX6NBoVAgQJ6U1MVXOaj8PK2l7WJ3RER9xtqwdhxkhw/edit?usp=sharing"",""พระนครศรีอยุธยา!I416"")"),0)</f>
        <v>0</v>
      </c>
      <c r="J521" s="188">
        <f ca="1">IFERROR(__xludf.DUMMYFUNCTION("IMPORTRANGE(""https://docs.google.com/spreadsheets/d/1SX6NBoVAgQJ6U1MVXOaj8PK2l7WJ3RER9xtqwdhxkhw/edit?usp=sharing"",""พระนครศรีอยุธยา!J416"")"),0)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IFERROR(__xludf.DUMMYFUNCTION("IMPORTRANGE(""https://docs.google.com/spreadsheets/d/1SX6NBoVAgQJ6U1MVXOaj8PK2l7WJ3RER9xtqwdhxkhw/edit?usp=sharing"",""พระนครศรีอยุธยา!I417"")"),0)</f>
        <v>0</v>
      </c>
      <c r="J522" s="188">
        <f ca="1">IFERROR(__xludf.DUMMYFUNCTION("IMPORTRANGE(""https://docs.google.com/spreadsheets/d/1SX6NBoVAgQJ6U1MVXOaj8PK2l7WJ3RER9xtqwdhxkhw/edit?usp=sharing"",""พระนครศรีอยุธยา!J417"")"),0)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IFERROR(__xludf.DUMMYFUNCTION("IMPORTRANGE(""https://docs.google.com/spreadsheets/d/1SX6NBoVAgQJ6U1MVXOaj8PK2l7WJ3RER9xtqwdhxkhw/edit?usp=sharing"",""พระนครศรีอยุธยา!I418"")"),0)</f>
        <v>0</v>
      </c>
      <c r="J523" s="188">
        <f ca="1">IFERROR(__xludf.DUMMYFUNCTION("IMPORTRANGE(""https://docs.google.com/spreadsheets/d/1SX6NBoVAgQJ6U1MVXOaj8PK2l7WJ3RER9xtqwdhxkhw/edit?usp=sharing"",""พระนครศรีอยุธยา!J418"")"),0)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IFERROR(__xludf.DUMMYFUNCTION("IMPORTRANGE(""https://docs.google.com/spreadsheets/d/1SX6NBoVAgQJ6U1MVXOaj8PK2l7WJ3RER9xtqwdhxkhw/edit?usp=sharing"",""พระนครศรีอยุธยา!I419"")"),0)</f>
        <v>0</v>
      </c>
      <c r="J524" s="188">
        <f ca="1">IFERROR(__xludf.DUMMYFUNCTION("IMPORTRANGE(""https://docs.google.com/spreadsheets/d/1SX6NBoVAgQJ6U1MVXOaj8PK2l7WJ3RER9xtqwdhxkhw/edit?usp=sharing"",""พระนครศรีอยุธยา!J419"")"),0)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IFERROR(__xludf.DUMMYFUNCTION("IMPORTRANGE(""https://docs.google.com/spreadsheets/d/1SX6NBoVAgQJ6U1MVXOaj8PK2l7WJ3RER9xtqwdhxkhw/edit?usp=sharing"",""พระนครศรีอยุธยา!I420"")"),0)</f>
        <v>0</v>
      </c>
      <c r="J525" s="284">
        <f ca="1">IFERROR(__xludf.DUMMYFUNCTION("IMPORTRANGE(""https://docs.google.com/spreadsheets/d/1SX6NBoVAgQJ6U1MVXOaj8PK2l7WJ3RER9xtqwdhxkhw/edit?usp=sharing"",""พระนครศรีอยุธยา!J420"")"),0)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IFERROR(__xludf.DUMMYFUNCTION("IMPORTRANGE(""https://docs.google.com/spreadsheets/d/1SX6NBoVAgQJ6U1MVXOaj8PK2l7WJ3RER9xtqwdhxkhw/edit?usp=sharing"",""พระนครศรีอยุธยา!I421"")"),0)</f>
        <v>0</v>
      </c>
      <c r="J526" s="284">
        <f ca="1">IFERROR(__xludf.DUMMYFUNCTION("IMPORTRANGE(""https://docs.google.com/spreadsheets/d/1SX6NBoVAgQJ6U1MVXOaj8PK2l7WJ3RER9xtqwdhxkhw/edit?usp=sharing"",""พระนครศรีอยุธยา!J421"")"),0)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IFERROR(__xludf.DUMMYFUNCTION("IMPORTRANGE(""https://docs.google.com/spreadsheets/d/1SX6NBoVAgQJ6U1MVXOaj8PK2l7WJ3RER9xtqwdhxkhw/edit?usp=sharing"",""พระนครศรีอยุธยา!I422"")"),0)</f>
        <v>0</v>
      </c>
      <c r="J527" s="198">
        <f ca="1">IFERROR(__xludf.DUMMYFUNCTION("IMPORTRANGE(""https://docs.google.com/spreadsheets/d/1SX6NBoVAgQJ6U1MVXOaj8PK2l7WJ3RER9xtqwdhxkhw/edit?usp=sharing"",""พระนครศรีอยุธยา!J422"")"),0)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IFERROR(__xludf.DUMMYFUNCTION("IMPORTRANGE(""https://docs.google.com/spreadsheets/d/1SX6NBoVAgQJ6U1MVXOaj8PK2l7WJ3RER9xtqwdhxkhw/edit?usp=sharing"",""พระนครศรีอยุธยา!I423"")"),0)</f>
        <v>0</v>
      </c>
      <c r="J528" s="198">
        <f ca="1">IFERROR(__xludf.DUMMYFUNCTION("IMPORTRANGE(""https://docs.google.com/spreadsheets/d/1SX6NBoVAgQJ6U1MVXOaj8PK2l7WJ3RER9xtqwdhxkhw/edit?usp=sharing"",""พระนครศรีอยุธยา!J423"")"),0)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IFERROR(__xludf.DUMMYFUNCTION("IMPORTRANGE(""https://docs.google.com/spreadsheets/d/1SX6NBoVAgQJ6U1MVXOaj8PK2l7WJ3RER9xtqwdhxkhw/edit?usp=sharing"",""พระนครศรีอยุธยา!I424"")"),0)</f>
        <v>0</v>
      </c>
      <c r="J529" s="198">
        <f ca="1">IFERROR(__xludf.DUMMYFUNCTION("IMPORTRANGE(""https://docs.google.com/spreadsheets/d/1SX6NBoVAgQJ6U1MVXOaj8PK2l7WJ3RER9xtqwdhxkhw/edit?usp=sharing"",""พระนครศรีอยุธยา!J424"")"),0)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IFERROR(__xludf.DUMMYFUNCTION("IMPORTRANGE(""https://docs.google.com/spreadsheets/d/1SX6NBoVAgQJ6U1MVXOaj8PK2l7WJ3RER9xtqwdhxkhw/edit?usp=sharing"",""พระนครศรีอยุธยา!I425"")"),0)</f>
        <v>0</v>
      </c>
      <c r="J530" s="198">
        <f ca="1">IFERROR(__xludf.DUMMYFUNCTION("IMPORTRANGE(""https://docs.google.com/spreadsheets/d/1SX6NBoVAgQJ6U1MVXOaj8PK2l7WJ3RER9xtqwdhxkhw/edit?usp=sharing"",""พระนครศรีอยุธยา!J425"")"),0)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IFERROR(__xludf.DUMMYFUNCTION("IMPORTRANGE(""https://docs.google.com/spreadsheets/d/1SX6NBoVAgQJ6U1MVXOaj8PK2l7WJ3RER9xtqwdhxkhw/edit?usp=sharing"",""พระนครศรีอยุธยา!I426"")"),0)</f>
        <v>0</v>
      </c>
      <c r="J531" s="198">
        <f ca="1">IFERROR(__xludf.DUMMYFUNCTION("IMPORTRANGE(""https://docs.google.com/spreadsheets/d/1SX6NBoVAgQJ6U1MVXOaj8PK2l7WJ3RER9xtqwdhxkhw/edit?usp=sharing"",""พระนครศรีอยุธยา!J426"")"),0)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IFERROR(__xludf.DUMMYFUNCTION("IMPORTRANGE(""https://docs.google.com/spreadsheets/d/1SX6NBoVAgQJ6U1MVXOaj8PK2l7WJ3RER9xtqwdhxkhw/edit?usp=sharing"",""พระนครศรีอยุธยา!I427"")"),0)</f>
        <v>0</v>
      </c>
      <c r="J532" s="466">
        <f ca="1">IFERROR(__xludf.DUMMYFUNCTION("IMPORTRANGE(""https://docs.google.com/spreadsheets/d/1SX6NBoVAgQJ6U1MVXOaj8PK2l7WJ3RER9xtqwdhxkhw/edit?usp=sharing"",""พระนครศรีอยุธยา!J427"")"),0)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IFERROR(__xludf.DUMMYFUNCTION("IMPORTRANGE(""https://docs.google.com/spreadsheets/d/1SX6NBoVAgQJ6U1MVXOaj8PK2l7WJ3RER9xtqwdhxkhw/edit?usp=sharing"",""พระนครศรีอยุธยา!I428"")"),22)</f>
        <v>22</v>
      </c>
      <c r="J533" s="410">
        <f ca="1">IFERROR(__xludf.DUMMYFUNCTION("IMPORTRANGE(""https://docs.google.com/spreadsheets/d/1SX6NBoVAgQJ6U1MVXOaj8PK2l7WJ3RER9xtqwdhxkhw/edit?usp=sharing"",""พระนครศรีอยุธยา!J428"")"),22)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IFERROR(__xludf.DUMMYFUNCTION("IMPORTRANGE(""https://docs.google.com/spreadsheets/d/1SX6NBoVAgQJ6U1MVXOaj8PK2l7WJ3RER9xtqwdhxkhw/edit?usp=sharing"",""พระนครศรีอยุธยา!L428"")"),34340)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IFERROR(__xludf.DUMMYFUNCTION("IMPORTRANGE(""https://docs.google.com/spreadsheets/d/1SX6NBoVAgQJ6U1MVXOaj8PK2l7WJ3RER9xtqwdhxkhw/edit?usp=sharing"",""พระนครศรีอยุธยา!M428"")"),31134)</f>
        <v>31134</v>
      </c>
      <c r="O533" s="412">
        <f t="shared" ref="O533:O537" ca="1" si="118">+IF(L533&gt;0,N533*100/L533,0)</f>
        <v>90.663948747815965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IFERROR(__xludf.DUMMYFUNCTION("IMPORTRANGE(""https://docs.google.com/spreadsheets/d/1SX6NBoVAgQJ6U1MVXOaj8PK2l7WJ3RER9xtqwdhxkhw/edit?usp=sharing"",""พระนครศรีอยุธยา!L429"")"),0)</f>
        <v>0</v>
      </c>
      <c r="M534" s="164"/>
      <c r="N534" s="169">
        <f ca="1">IFERROR(__xludf.DUMMYFUNCTION("IMPORTRANGE(""https://docs.google.com/spreadsheets/d/1SX6NBoVAgQJ6U1MVXOaj8PK2l7WJ3RER9xtqwdhxkhw/edit?usp=sharing"",""พระนครศรีอยุธยา!M429"")"),0)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IFERROR(__xludf.DUMMYFUNCTION("IMPORTRANGE(""https://docs.google.com/spreadsheets/d/1SX6NBoVAgQJ6U1MVXOaj8PK2l7WJ3RER9xtqwdhxkhw/edit?usp=sharing"",""พระนครศรีอยุธยา!L430"")"),34340)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IFERROR(__xludf.DUMMYFUNCTION("IMPORTRANGE(""https://docs.google.com/spreadsheets/d/1SX6NBoVAgQJ6U1MVXOaj8PK2l7WJ3RER9xtqwdhxkhw/edit?usp=sharing"",""พระนครศรีอยุธยา!M430"")"),31134)</f>
        <v>31134</v>
      </c>
      <c r="O535" s="169">
        <f t="shared" ca="1" si="118"/>
        <v>90.663948747815965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IFERROR(__xludf.DUMMYFUNCTION("IMPORTRANGE(""https://docs.google.com/spreadsheets/d/1SX6NBoVAgQJ6U1MVXOaj8PK2l7WJ3RER9xtqwdhxkhw/edit?usp=sharing"",""พระนครศรีอยุธยา!L431"")"),0)</f>
        <v>0</v>
      </c>
      <c r="M536" s="169"/>
      <c r="N536" s="169">
        <f ca="1">IFERROR(__xludf.DUMMYFUNCTION("IMPORTRANGE(""https://docs.google.com/spreadsheets/d/1SX6NBoVAgQJ6U1MVXOaj8PK2l7WJ3RER9xtqwdhxkhw/edit?usp=sharing"",""พระนครศรีอยุธยา!M431"")"),0)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IFERROR(__xludf.DUMMYFUNCTION("IMPORTRANGE(""https://docs.google.com/spreadsheets/d/1SX6NBoVAgQJ6U1MVXOaj8PK2l7WJ3RER9xtqwdhxkhw/edit?usp=sharing"",""พระนครศรีอยุธยา!L432"")"),34340)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IFERROR(__xludf.DUMMYFUNCTION("IMPORTRANGE(""https://docs.google.com/spreadsheets/d/1SX6NBoVAgQJ6U1MVXOaj8PK2l7WJ3RER9xtqwdhxkhw/edit?usp=sharing"",""พระนครศรีอยุธยา!M432"")"),31134)</f>
        <v>31134</v>
      </c>
      <c r="O537" s="169">
        <f t="shared" ca="1" si="118"/>
        <v>90.663948747815965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IFERROR(__xludf.DUMMYFUNCTION("IMPORTRANGE(""https://docs.google.com/spreadsheets/d/1SX6NBoVAgQJ6U1MVXOaj8PK2l7WJ3RER9xtqwdhxkhw/edit?usp=sharing"",""พระนครศรีอยุธยา!M433"")"),16984)</f>
        <v>16984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IFERROR(__xludf.DUMMYFUNCTION("IMPORTRANGE(""https://docs.google.com/spreadsheets/d/1SX6NBoVAgQJ6U1MVXOaj8PK2l7WJ3RER9xtqwdhxkhw/edit?usp=sharing"",""พระนครศรีอยุธยา!M434"")"),0)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IFERROR(__xludf.DUMMYFUNCTION("IMPORTRANGE(""https://docs.google.com/spreadsheets/d/1SX6NBoVAgQJ6U1MVXOaj8PK2l7WJ3RER9xtqwdhxkhw/edit?usp=sharing"",""พระนครศรีอยุธยา!M435"")"),0)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IFERROR(__xludf.DUMMYFUNCTION("IMPORTRANGE(""https://docs.google.com/spreadsheets/d/1SX6NBoVAgQJ6U1MVXOaj8PK2l7WJ3RER9xtqwdhxkhw/edit?usp=sharing"",""พระนครศรีอยุธยา!M436"")"),14150)</f>
        <v>14150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IFERROR(__xludf.DUMMYFUNCTION("IMPORTRANGE(""https://docs.google.com/spreadsheets/d/1SX6NBoVAgQJ6U1MVXOaj8PK2l7WJ3RER9xtqwdhxkhw/edit?usp=sharing"",""พระนครศรีอยุธยา!J438"")"),0)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IFERROR(__xludf.DUMMYFUNCTION("IMPORTRANGE(""https://docs.google.com/spreadsheets/d/1SX6NBoVAgQJ6U1MVXOaj8PK2l7WJ3RER9xtqwdhxkhw/edit?usp=sharing"",""พระนครศรีอยุธยา!J439"")"),1)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IFERROR(__xludf.DUMMYFUNCTION("IMPORTRANGE(""https://docs.google.com/spreadsheets/d/1SX6NBoVAgQJ6U1MVXOaj8PK2l7WJ3RER9xtqwdhxkhw/edit?usp=sharing"",""พระนครศรีอยุธยา!J440"")"),1)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IFERROR(__xludf.DUMMYFUNCTION("IMPORTRANGE(""https://docs.google.com/spreadsheets/d/1SX6NBoVAgQJ6U1MVXOaj8PK2l7WJ3RER9xtqwdhxkhw/edit?usp=sharing"",""พระนครศรีอยุธยา!J441"")"),1)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IFERROR(__xludf.DUMMYFUNCTION("IMPORTRANGE(""https://docs.google.com/spreadsheets/d/1SX6NBoVAgQJ6U1MVXOaj8PK2l7WJ3RER9xtqwdhxkhw/edit?usp=sharing"",""พระนครศรีอยุธยา!I442"")"),22)</f>
        <v>22</v>
      </c>
      <c r="J547" s="189">
        <f ca="1">IFERROR(__xludf.DUMMYFUNCTION("IMPORTRANGE(""https://docs.google.com/spreadsheets/d/1SX6NBoVAgQJ6U1MVXOaj8PK2l7WJ3RER9xtqwdhxkhw/edit?usp=sharing"",""พระนครศรีอยุธยา!J442"")"),22)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IFERROR(__xludf.DUMMYFUNCTION("IMPORTRANGE(""https://docs.google.com/spreadsheets/d/1SX6NBoVAgQJ6U1MVXOaj8PK2l7WJ3RER9xtqwdhxkhw/edit?usp=sharing"",""พระนครศรีอยุธยา!J166"")"),0)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IFERROR(__xludf.DUMMYFUNCTION("IMPORTRANGE(""https://docs.google.com/spreadsheets/d/1SX6NBoVAgQJ6U1MVXOaj8PK2l7WJ3RER9xtqwdhxkhw/edit?usp=sharing"",""พระนครศรีอยุธยา!J444"")"),1)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IFERROR(__xludf.DUMMYFUNCTION("IMPORTRANGE(""https://docs.google.com/spreadsheets/d/1SX6NBoVAgQJ6U1MVXOaj8PK2l7WJ3RER9xtqwdhxkhw/edit?usp=sharing"",""พระนครศรีอยุธยา!J445"")"),0)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IFERROR(__xludf.DUMMYFUNCTION("IMPORTRANGE(""https://docs.google.com/spreadsheets/d/1SX6NBoVAgQJ6U1MVXOaj8PK2l7WJ3RER9xtqwdhxkhw/edit?usp=sharing"",""พระนครศรีอยุธยา!I446"")"),0)</f>
        <v>0</v>
      </c>
      <c r="J551" s="410">
        <f ca="1">IFERROR(__xludf.DUMMYFUNCTION("IMPORTRANGE(""https://docs.google.com/spreadsheets/d/1SX6NBoVAgQJ6U1MVXOaj8PK2l7WJ3RER9xtqwdhxkhw/edit?usp=sharing"",""พระนครศรีอยุธยา!J446"")"),0)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IFERROR(__xludf.DUMMYFUNCTION("IMPORTRANGE(""https://docs.google.com/spreadsheets/d/1SX6NBoVAgQJ6U1MVXOaj8PK2l7WJ3RER9xtqwdhxkhw/edit?usp=sharing"",""พระนครศรีอยุธยา!L446"")"),0)</f>
        <v>0</v>
      </c>
      <c r="M551" s="412"/>
      <c r="N551" s="412">
        <f ca="1">IFERROR(__xludf.DUMMYFUNCTION("IMPORTRANGE(""https://docs.google.com/spreadsheets/d/1SX6NBoVAgQJ6U1MVXOaj8PK2l7WJ3RER9xtqwdhxkhw/edit?usp=sharing"",""พระนครศรีอยุธยา!M446"")"),0)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IFERROR(__xludf.DUMMYFUNCTION("IMPORTRANGE(""https://docs.google.com/spreadsheets/d/1SX6NBoVAgQJ6U1MVXOaj8PK2l7WJ3RER9xtqwdhxkhw/edit?usp=sharing"",""พระนครศรีอยุธยา!L447"")"),0)</f>
        <v>0</v>
      </c>
      <c r="M552" s="164"/>
      <c r="N552" s="169">
        <f ca="1">IFERROR(__xludf.DUMMYFUNCTION("IMPORTRANGE(""https://docs.google.com/spreadsheets/d/1SX6NBoVAgQJ6U1MVXOaj8PK2l7WJ3RER9xtqwdhxkhw/edit?usp=sharing"",""พระนครศรีอยุธยา!M447"")"),0)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IFERROR(__xludf.DUMMYFUNCTION("IMPORTRANGE(""https://docs.google.com/spreadsheets/d/1SX6NBoVAgQJ6U1MVXOaj8PK2l7WJ3RER9xtqwdhxkhw/edit?usp=sharing"",""พระนครศรีอยุธยา!L448"")"),0)</f>
        <v>0</v>
      </c>
      <c r="M553" s="165"/>
      <c r="N553" s="169">
        <f ca="1">IFERROR(__xludf.DUMMYFUNCTION("IMPORTRANGE(""https://docs.google.com/spreadsheets/d/1SX6NBoVAgQJ6U1MVXOaj8PK2l7WJ3RER9xtqwdhxkhw/edit?usp=sharing"",""พระนครศรีอยุธยา!M448"")"),0)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IFERROR(__xludf.DUMMYFUNCTION("IMPORTRANGE(""https://docs.google.com/spreadsheets/d/1SX6NBoVAgQJ6U1MVXOaj8PK2l7WJ3RER9xtqwdhxkhw/edit?usp=sharing"",""พระนครศรีอยุธยา!L449"")"),0)</f>
        <v>0</v>
      </c>
      <c r="M554" s="169"/>
      <c r="N554" s="169">
        <f ca="1">IFERROR(__xludf.DUMMYFUNCTION("IMPORTRANGE(""https://docs.google.com/spreadsheets/d/1SX6NBoVAgQJ6U1MVXOaj8PK2l7WJ3RER9xtqwdhxkhw/edit?usp=sharing"",""พระนครศรีอยุธยา!M449"")"),0)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IFERROR(__xludf.DUMMYFUNCTION("IMPORTRANGE(""https://docs.google.com/spreadsheets/d/1SX6NBoVAgQJ6U1MVXOaj8PK2l7WJ3RER9xtqwdhxkhw/edit?usp=sharing"",""พระนครศรีอยุธยา!L450"")"),0)</f>
        <v>0</v>
      </c>
      <c r="M555" s="169"/>
      <c r="N555" s="169">
        <f ca="1">IFERROR(__xludf.DUMMYFUNCTION("IMPORTRANGE(""https://docs.google.com/spreadsheets/d/1SX6NBoVAgQJ6U1MVXOaj8PK2l7WJ3RER9xtqwdhxkhw/edit?usp=sharing"",""พระนครศรีอยุธยา!M450"")"),0)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IFERROR(__xludf.DUMMYFUNCTION("IMPORTRANGE(""https://docs.google.com/spreadsheets/d/1SX6NBoVAgQJ6U1MVXOaj8PK2l7WJ3RER9xtqwdhxkhw/edit?usp=sharing"",""พระนครศรีอยุธยา!M451"")"),0)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IFERROR(__xludf.DUMMYFUNCTION("IMPORTRANGE(""https://docs.google.com/spreadsheets/d/1SX6NBoVAgQJ6U1MVXOaj8PK2l7WJ3RER9xtqwdhxkhw/edit?usp=sharing"",""พระนครศรีอยุธยา!M452"")"),0)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IFERROR(__xludf.DUMMYFUNCTION("IMPORTRANGE(""https://docs.google.com/spreadsheets/d/1SX6NBoVAgQJ6U1MVXOaj8PK2l7WJ3RER9xtqwdhxkhw/edit?usp=sharing"",""พระนครศรีอยุธยา!M453"")"),0)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IFERROR(__xludf.DUMMYFUNCTION("IMPORTRANGE(""https://docs.google.com/spreadsheets/d/1SX6NBoVAgQJ6U1MVXOaj8PK2l7WJ3RER9xtqwdhxkhw/edit?usp=sharing"",""พระนครศรีอยุธยา!M454"")"),0)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IFERROR(__xludf.DUMMYFUNCTION("IMPORTRANGE(""https://docs.google.com/spreadsheets/d/1SX6NBoVAgQJ6U1MVXOaj8PK2l7WJ3RER9xtqwdhxkhw/edit?usp=sharing"",""พระนครศรีอยุธยา!I455"")"),0)</f>
        <v>0</v>
      </c>
      <c r="J560" s="162">
        <f ca="1">IFERROR(__xludf.DUMMYFUNCTION("IMPORTRANGE(""https://docs.google.com/spreadsheets/d/1SX6NBoVAgQJ6U1MVXOaj8PK2l7WJ3RER9xtqwdhxkhw/edit?usp=sharing"",""พระนครศรีอยุธยา!J455"")"),0)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IFERROR(__xludf.DUMMYFUNCTION("IMPORTRANGE(""https://docs.google.com/spreadsheets/d/1SX6NBoVAgQJ6U1MVXOaj8PK2l7WJ3RER9xtqwdhxkhw/edit?usp=sharing"",""พระนครศรีอยุธยา!I456"")"),0)</f>
        <v>0</v>
      </c>
      <c r="J561" s="204">
        <f ca="1">IFERROR(__xludf.DUMMYFUNCTION("IMPORTRANGE(""https://docs.google.com/spreadsheets/d/1SX6NBoVAgQJ6U1MVXOaj8PK2l7WJ3RER9xtqwdhxkhw/edit?usp=sharing"",""พระนครศรีอยุธยา!J456"")"),0)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IFERROR(__xludf.DUMMYFUNCTION("IMPORTRANGE(""https://docs.google.com/spreadsheets/d/1SX6NBoVAgQJ6U1MVXOaj8PK2l7WJ3RER9xtqwdhxkhw/edit?usp=sharing"",""พระนครศรีอยุธยา!I459"")"),150)</f>
        <v>150</v>
      </c>
      <c r="J564" s="371">
        <f ca="1">IFERROR(__xludf.DUMMYFUNCTION("IMPORTRANGE(""https://docs.google.com/spreadsheets/d/1SX6NBoVAgQJ6U1MVXOaj8PK2l7WJ3RER9xtqwdhxkhw/edit?usp=sharing"",""พระนครศรีอยุธยา!J459"")"),755)</f>
        <v>755</v>
      </c>
      <c r="K564" s="372">
        <f ca="1">IF(I564&gt;0,J564*100/I564,0)</f>
        <v>503.33333333333331</v>
      </c>
      <c r="L564" s="373">
        <f ca="1">IFERROR(__xludf.DUMMYFUNCTION("IMPORTRANGE(""https://docs.google.com/spreadsheets/d/1SX6NBoVAgQJ6U1MVXOaj8PK2l7WJ3RER9xtqwdhxkhw/edit?usp=sharing"",""พระนครศรีอยุธยา!L459"")"),125680)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IFERROR(__xludf.DUMMYFUNCTION("IMPORTRANGE(""https://docs.google.com/spreadsheets/d/1SX6NBoVAgQJ6U1MVXOaj8PK2l7WJ3RER9xtqwdhxkhw/edit?usp=sharing"",""พระนครศรีอยุธยา!M459"")"),46926.78)</f>
        <v>46926.78</v>
      </c>
      <c r="O564" s="373">
        <f t="shared" ref="O564:O568" ca="1" si="122">+IF(L564&gt;0,N564*100/L564,0)</f>
        <v>37.338303628262253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IFERROR(__xludf.DUMMYFUNCTION("IMPORTRANGE(""https://docs.google.com/spreadsheets/d/1SX6NBoVAgQJ6U1MVXOaj8PK2l7WJ3RER9xtqwdhxkhw/edit?usp=sharing"",""พระนครศรีอยุธยา!L460"")"),0)</f>
        <v>0</v>
      </c>
      <c r="M565" s="164"/>
      <c r="N565" s="169">
        <f ca="1">IFERROR(__xludf.DUMMYFUNCTION("IMPORTRANGE(""https://docs.google.com/spreadsheets/d/1SX6NBoVAgQJ6U1MVXOaj8PK2l7WJ3RER9xtqwdhxkhw/edit?usp=sharing"",""พระนครศรีอยุธยา!M460"")"),0)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IFERROR(__xludf.DUMMYFUNCTION("IMPORTRANGE(""https://docs.google.com/spreadsheets/d/1SX6NBoVAgQJ6U1MVXOaj8PK2l7WJ3RER9xtqwdhxkhw/edit?usp=sharing"",""พระนครศรีอยุธยา!L461"")"),125680)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IFERROR(__xludf.DUMMYFUNCTION("IMPORTRANGE(""https://docs.google.com/spreadsheets/d/1SX6NBoVAgQJ6U1MVXOaj8PK2l7WJ3RER9xtqwdhxkhw/edit?usp=sharing"",""พระนครศรีอยุธยา!M461"")"),46926.78)</f>
        <v>46926.78</v>
      </c>
      <c r="O566" s="169">
        <f t="shared" ca="1" si="122"/>
        <v>37.338303628262253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IFERROR(__xludf.DUMMYFUNCTION("IMPORTRANGE(""https://docs.google.com/spreadsheets/d/1SX6NBoVAgQJ6U1MVXOaj8PK2l7WJ3RER9xtqwdhxkhw/edit?usp=sharing"",""พระนครศรีอยุธยา!L462"")"),0)</f>
        <v>0</v>
      </c>
      <c r="M567" s="169"/>
      <c r="N567" s="169">
        <f ca="1">IFERROR(__xludf.DUMMYFUNCTION("IMPORTRANGE(""https://docs.google.com/spreadsheets/d/1SX6NBoVAgQJ6U1MVXOaj8PK2l7WJ3RER9xtqwdhxkhw/edit?usp=sharing"",""พระนครศรีอยุธยา!M462"")"),0)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IFERROR(__xludf.DUMMYFUNCTION("IMPORTRANGE(""https://docs.google.com/spreadsheets/d/1SX6NBoVAgQJ6U1MVXOaj8PK2l7WJ3RER9xtqwdhxkhw/edit?usp=sharing"",""พระนครศรีอยุธยา!L463"")"),125680)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IFERROR(__xludf.DUMMYFUNCTION("IMPORTRANGE(""https://docs.google.com/spreadsheets/d/1SX6NBoVAgQJ6U1MVXOaj8PK2l7WJ3RER9xtqwdhxkhw/edit?usp=sharing"",""พระนครศรีอยุธยา!M463"")"),46926.78)</f>
        <v>46926.78</v>
      </c>
      <c r="O568" s="169">
        <f t="shared" ca="1" si="122"/>
        <v>37.338303628262253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IFERROR(__xludf.DUMMYFUNCTION("IMPORTRANGE(""https://docs.google.com/spreadsheets/d/1SX6NBoVAgQJ6U1MVXOaj8PK2l7WJ3RER9xtqwdhxkhw/edit?usp=sharing"",""พระนครศรีอยุธยา!M464"")"),0)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IFERROR(__xludf.DUMMYFUNCTION("IMPORTRANGE(""https://docs.google.com/spreadsheets/d/1SX6NBoVAgQJ6U1MVXOaj8PK2l7WJ3RER9xtqwdhxkhw/edit?usp=sharing"",""พระนครศรีอยุธยา!M465"")"),0)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IFERROR(__xludf.DUMMYFUNCTION("IMPORTRANGE(""https://docs.google.com/spreadsheets/d/1SX6NBoVAgQJ6U1MVXOaj8PK2l7WJ3RER9xtqwdhxkhw/edit?usp=sharing"",""พระนครศรีอยุธยา!M466"")"),31187.78)</f>
        <v>31187.78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IFERROR(__xludf.DUMMYFUNCTION("IMPORTRANGE(""https://docs.google.com/spreadsheets/d/1SX6NBoVAgQJ6U1MVXOaj8PK2l7WJ3RER9xtqwdhxkhw/edit?usp=sharing"",""พระนครศรีอยุธยา!M467"")"),15739)</f>
        <v>15739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IFERROR(__xludf.DUMMYFUNCTION("IMPORTRANGE(""https://docs.google.com/spreadsheets/d/1SX6NBoVAgQJ6U1MVXOaj8PK2l7WJ3RER9xtqwdhxkhw/edit?usp=sharing"",""พระนครศรีอยุธยา!I468"")"),150)</f>
        <v>150</v>
      </c>
      <c r="J573" s="420">
        <f ca="1">IFERROR(__xludf.DUMMYFUNCTION("IMPORTRANGE(""https://docs.google.com/spreadsheets/d/1SX6NBoVAgQJ6U1MVXOaj8PK2l7WJ3RER9xtqwdhxkhw/edit?usp=sharing"",""พระนครศรีอยุธยา!J468"")"),755)</f>
        <v>755</v>
      </c>
      <c r="K573" s="202">
        <f ca="1">IF(I573&gt;0,J573*100/I573,0)</f>
        <v>503.33333333333331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IFERROR(__xludf.DUMMYFUNCTION("IMPORTRANGE(""https://docs.google.com/spreadsheets/d/1SX6NBoVAgQJ6U1MVXOaj8PK2l7WJ3RER9xtqwdhxkhw/edit?usp=sharing"",""พระนครศรีอยุธยา!I470"")"),0)</f>
        <v>0</v>
      </c>
      <c r="J575" s="198">
        <f ca="1">IFERROR(__xludf.DUMMYFUNCTION("IMPORTRANGE(""https://docs.google.com/spreadsheets/d/1SX6NBoVAgQJ6U1MVXOaj8PK2l7WJ3RER9xtqwdhxkhw/edit?usp=sharing"",""พระนครศรีอยุธยา!J470"")"),10)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IFERROR(__xludf.DUMMYFUNCTION("IMPORTRANGE(""https://docs.google.com/spreadsheets/d/1SX6NBoVAgQJ6U1MVXOaj8PK2l7WJ3RER9xtqwdhxkhw/edit?usp=sharing"",""พระนครศรีอยุธยา!I471"")"),0)</f>
        <v>0</v>
      </c>
      <c r="J576" s="198">
        <f ca="1">IFERROR(__xludf.DUMMYFUNCTION("IMPORTRANGE(""https://docs.google.com/spreadsheets/d/1SX6NBoVAgQJ6U1MVXOaj8PK2l7WJ3RER9xtqwdhxkhw/edit?usp=sharing"",""พระนครศรีอยุธยา!J471"")"),348)</f>
        <v>348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IFERROR(__xludf.DUMMYFUNCTION("IMPORTRANGE(""https://docs.google.com/spreadsheets/d/1SX6NBoVAgQJ6U1MVXOaj8PK2l7WJ3RER9xtqwdhxkhw/edit?usp=sharing"",""พระนครศรีอยุธยา!I472"")"),0)</f>
        <v>0</v>
      </c>
      <c r="J577" s="189">
        <f ca="1">IFERROR(__xludf.DUMMYFUNCTION("IMPORTRANGE(""https://docs.google.com/spreadsheets/d/1SX6NBoVAgQJ6U1MVXOaj8PK2l7WJ3RER9xtqwdhxkhw/edit?usp=sharing"",""พระนครศรีอยุธยา!J472"")"),407)</f>
        <v>407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IFERROR(__xludf.DUMMYFUNCTION("IMPORTRANGE(""https://docs.google.com/spreadsheets/d/1SX6NBoVAgQJ6U1MVXOaj8PK2l7WJ3RER9xtqwdhxkhw/edit?usp=sharing"",""พระนครศรีอยุธยา!I473"")"),0)</f>
        <v>0</v>
      </c>
      <c r="J578" s="198">
        <f ca="1">IFERROR(__xludf.DUMMYFUNCTION("IMPORTRANGE(""https://docs.google.com/spreadsheets/d/1SX6NBoVAgQJ6U1MVXOaj8PK2l7WJ3RER9xtqwdhxkhw/edit?usp=sharing"",""พระนครศรีอยุธยา!J473"")"),0)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IFERROR(__xludf.DUMMYFUNCTION("IMPORTRANGE(""https://docs.google.com/spreadsheets/d/1SX6NBoVAgQJ6U1MVXOaj8PK2l7WJ3RER9xtqwdhxkhw/edit?usp=sharing"",""พระนครศรีอยุธยา!I474"")"),0)</f>
        <v>0</v>
      </c>
      <c r="J579" s="198">
        <f ca="1">IFERROR(__xludf.DUMMYFUNCTION("IMPORTRANGE(""https://docs.google.com/spreadsheets/d/1SX6NBoVAgQJ6U1MVXOaj8PK2l7WJ3RER9xtqwdhxkhw/edit?usp=sharing"",""พระนครศรีอยุธยา!J474"")"),0)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IFERROR(__xludf.DUMMYFUNCTION("IMPORTRANGE(""https://docs.google.com/spreadsheets/d/1SX6NBoVAgQJ6U1MVXOaj8PK2l7WJ3RER9xtqwdhxkhw/edit?usp=sharing"",""พระนครศรีอยุธยา!I475"")"),0)</f>
        <v>0</v>
      </c>
      <c r="J580" s="371">
        <f ca="1">IFERROR(__xludf.DUMMYFUNCTION("IMPORTRANGE(""https://docs.google.com/spreadsheets/d/1SX6NBoVAgQJ6U1MVXOaj8PK2l7WJ3RER9xtqwdhxkhw/edit?usp=sharing"",""พระนครศรีอยุธยา!J475"")"),0)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IFERROR(__xludf.DUMMYFUNCTION("IMPORTRANGE(""https://docs.google.com/spreadsheets/d/1SX6NBoVAgQJ6U1MVXOaj8PK2l7WJ3RER9xtqwdhxkhw/edit?usp=sharing"",""พระนครศรีอยุธยา!L475"")"),0)</f>
        <v>0</v>
      </c>
      <c r="M580" s="373"/>
      <c r="N580" s="373">
        <f ca="1">IFERROR(__xludf.DUMMYFUNCTION("IMPORTRANGE(""https://docs.google.com/spreadsheets/d/1SX6NBoVAgQJ6U1MVXOaj8PK2l7WJ3RER9xtqwdhxkhw/edit?usp=sharing"",""พระนครศรีอยุธยา!M475"")"),0)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IFERROR(__xludf.DUMMYFUNCTION("IMPORTRANGE(""https://docs.google.com/spreadsheets/d/1SX6NBoVAgQJ6U1MVXOaj8PK2l7WJ3RER9xtqwdhxkhw/edit?usp=sharing"",""พระนครศรีอยุธยา!L476"")"),0)</f>
        <v>0</v>
      </c>
      <c r="M581" s="164"/>
      <c r="N581" s="169">
        <f ca="1">IFERROR(__xludf.DUMMYFUNCTION("IMPORTRANGE(""https://docs.google.com/spreadsheets/d/1SX6NBoVAgQJ6U1MVXOaj8PK2l7WJ3RER9xtqwdhxkhw/edit?usp=sharing"",""พระนครศรีอยุธยา!M476"")"),0)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IFERROR(__xludf.DUMMYFUNCTION("IMPORTRANGE(""https://docs.google.com/spreadsheets/d/1SX6NBoVAgQJ6U1MVXOaj8PK2l7WJ3RER9xtqwdhxkhw/edit?usp=sharing"",""พระนครศรีอยุธยา!L477"")"),0)</f>
        <v>0</v>
      </c>
      <c r="M582" s="165"/>
      <c r="N582" s="169">
        <f ca="1">IFERROR(__xludf.DUMMYFUNCTION("IMPORTRANGE(""https://docs.google.com/spreadsheets/d/1SX6NBoVAgQJ6U1MVXOaj8PK2l7WJ3RER9xtqwdhxkhw/edit?usp=sharing"",""พระนครศรีอยุธยา!M477"")"),0)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IFERROR(__xludf.DUMMYFUNCTION("IMPORTRANGE(""https://docs.google.com/spreadsheets/d/1SX6NBoVAgQJ6U1MVXOaj8PK2l7WJ3RER9xtqwdhxkhw/edit?usp=sharing"",""พระนครศรีอยุธยา!L478"")"),0)</f>
        <v>0</v>
      </c>
      <c r="M583" s="169"/>
      <c r="N583" s="169">
        <f ca="1">IFERROR(__xludf.DUMMYFUNCTION("IMPORTRANGE(""https://docs.google.com/spreadsheets/d/1SX6NBoVAgQJ6U1MVXOaj8PK2l7WJ3RER9xtqwdhxkhw/edit?usp=sharing"",""พระนครศรีอยุธยา!M478"")"),0)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IFERROR(__xludf.DUMMYFUNCTION("IMPORTRANGE(""https://docs.google.com/spreadsheets/d/1SX6NBoVAgQJ6U1MVXOaj8PK2l7WJ3RER9xtqwdhxkhw/edit?usp=sharing"",""พระนครศรีอยุธยา!L479"")"),0)</f>
        <v>0</v>
      </c>
      <c r="M584" s="169"/>
      <c r="N584" s="169">
        <f ca="1">IFERROR(__xludf.DUMMYFUNCTION("IMPORTRANGE(""https://docs.google.com/spreadsheets/d/1SX6NBoVAgQJ6U1MVXOaj8PK2l7WJ3RER9xtqwdhxkhw/edit?usp=sharing"",""พระนครศรีอยุธยา!M479"")"),0)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IFERROR(__xludf.DUMMYFUNCTION("IMPORTRANGE(""https://docs.google.com/spreadsheets/d/1SX6NBoVAgQJ6U1MVXOaj8PK2l7WJ3RER9xtqwdhxkhw/edit?usp=sharing"",""พระนครศรีอยุธยา!M480"")"),0)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IFERROR(__xludf.DUMMYFUNCTION("IMPORTRANGE(""https://docs.google.com/spreadsheets/d/1SX6NBoVAgQJ6U1MVXOaj8PK2l7WJ3RER9xtqwdhxkhw/edit?usp=sharing"",""พระนครศรีอยุธยา!M481"")"),0)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IFERROR(__xludf.DUMMYFUNCTION("IMPORTRANGE(""https://docs.google.com/spreadsheets/d/1SX6NBoVAgQJ6U1MVXOaj8PK2l7WJ3RER9xtqwdhxkhw/edit?usp=sharing"",""พระนครศรีอยุธยา!M482"")"),0)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IFERROR(__xludf.DUMMYFUNCTION("IMPORTRANGE(""https://docs.google.com/spreadsheets/d/1SX6NBoVAgQJ6U1MVXOaj8PK2l7WJ3RER9xtqwdhxkhw/edit?usp=sharing"",""พระนครศรีอยุธยา!M483"")"),0)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IFERROR(__xludf.DUMMYFUNCTION("IMPORTRANGE(""https://docs.google.com/spreadsheets/d/1SX6NBoVAgQJ6U1MVXOaj8PK2l7WJ3RER9xtqwdhxkhw/edit?usp=sharing"",""พระนครศรีอยุธยา!I484"")"),0)</f>
        <v>0</v>
      </c>
      <c r="J589" s="188">
        <f ca="1">IFERROR(__xludf.DUMMYFUNCTION("IMPORTRANGE(""https://docs.google.com/spreadsheets/d/1SX6NBoVAgQJ6U1MVXOaj8PK2l7WJ3RER9xtqwdhxkhw/edit?usp=sharing"",""พระนครศรีอยุธยา!J484"")"),0)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IFERROR(__xludf.DUMMYFUNCTION("IMPORTRANGE(""https://docs.google.com/spreadsheets/d/1SX6NBoVAgQJ6U1MVXOaj8PK2l7WJ3RER9xtqwdhxkhw/edit?usp=sharing"",""พระนครศรีอยุธยา!I485"")"),0)</f>
        <v>0</v>
      </c>
      <c r="J590" s="188">
        <f ca="1">IFERROR(__xludf.DUMMYFUNCTION("IMPORTRANGE(""https://docs.google.com/spreadsheets/d/1SX6NBoVAgQJ6U1MVXOaj8PK2l7WJ3RER9xtqwdhxkhw/edit?usp=sharing"",""พระนครศรีอยุธยา!J485"")"),0)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IFERROR(__xludf.DUMMYFUNCTION("IMPORTRANGE(""https://docs.google.com/spreadsheets/d/1SX6NBoVAgQJ6U1MVXOaj8PK2l7WJ3RER9xtqwdhxkhw/edit?usp=sharing"",""พระนครศรีอยุธยา!I486"")"),0)</f>
        <v>0</v>
      </c>
      <c r="J591" s="188">
        <f ca="1">IFERROR(__xludf.DUMMYFUNCTION("IMPORTRANGE(""https://docs.google.com/spreadsheets/d/1SX6NBoVAgQJ6U1MVXOaj8PK2l7WJ3RER9xtqwdhxkhw/edit?usp=sharing"",""พระนครศรีอยุธยา!J486"")"),0)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IFERROR(__xludf.DUMMYFUNCTION("IMPORTRANGE(""https://docs.google.com/spreadsheets/d/1SX6NBoVAgQJ6U1MVXOaj8PK2l7WJ3RER9xtqwdhxkhw/edit?usp=sharing"",""พระนครศรีอยุธยา!I487"")"),0)</f>
        <v>0</v>
      </c>
      <c r="J592" s="188">
        <f ca="1">IFERROR(__xludf.DUMMYFUNCTION("IMPORTRANGE(""https://docs.google.com/spreadsheets/d/1SX6NBoVAgQJ6U1MVXOaj8PK2l7WJ3RER9xtqwdhxkhw/edit?usp=sharing"",""พระนครศรีอยุธยา!J487"")"),0)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IFERROR(__xludf.DUMMYFUNCTION("IMPORTRANGE(""https://docs.google.com/spreadsheets/d/1SX6NBoVAgQJ6U1MVXOaj8PK2l7WJ3RER9xtqwdhxkhw/edit?usp=sharing"",""พระนครศรีอยุธยา!I488"")"),0)</f>
        <v>0</v>
      </c>
      <c r="J593" s="188">
        <f ca="1">IFERROR(__xludf.DUMMYFUNCTION("IMPORTRANGE(""https://docs.google.com/spreadsheets/d/1SX6NBoVAgQJ6U1MVXOaj8PK2l7WJ3RER9xtqwdhxkhw/edit?usp=sharing"",""พระนครศรีอยุธยา!J488"")"),0)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IFERROR(__xludf.DUMMYFUNCTION("IMPORTRANGE(""https://docs.google.com/spreadsheets/d/1SX6NBoVAgQJ6U1MVXOaj8PK2l7WJ3RER9xtqwdhxkhw/edit?usp=sharing"",""พระนครศรีอยุธยา!I489"")"),0)</f>
        <v>0</v>
      </c>
      <c r="J594" s="188">
        <f ca="1">IFERROR(__xludf.DUMMYFUNCTION("IMPORTRANGE(""https://docs.google.com/spreadsheets/d/1SX6NBoVAgQJ6U1MVXOaj8PK2l7WJ3RER9xtqwdhxkhw/edit?usp=sharing"",""พระนครศรีอยุธยา!J489"")"),0)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IFERROR(__xludf.DUMMYFUNCTION("IMPORTRANGE(""https://docs.google.com/spreadsheets/d/1SX6NBoVAgQJ6U1MVXOaj8PK2l7WJ3RER9xtqwdhxkhw/edit?usp=sharing"",""พระนครศรีอยุธยา!I490"")"),0)</f>
        <v>0</v>
      </c>
      <c r="J595" s="188">
        <f ca="1">IFERROR(__xludf.DUMMYFUNCTION("IMPORTRANGE(""https://docs.google.com/spreadsheets/d/1SX6NBoVAgQJ6U1MVXOaj8PK2l7WJ3RER9xtqwdhxkhw/edit?usp=sharing"",""พระนครศรีอยุธยา!J490"")"),0)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IFERROR(__xludf.DUMMYFUNCTION("IMPORTRANGE(""https://docs.google.com/spreadsheets/d/1SX6NBoVAgQJ6U1MVXOaj8PK2l7WJ3RER9xtqwdhxkhw/edit?usp=sharing"",""พระนครศรีอยุธยา!I491"")"),0)</f>
        <v>0</v>
      </c>
      <c r="J596" s="241">
        <f ca="1">IFERROR(__xludf.DUMMYFUNCTION("IMPORTRANGE(""https://docs.google.com/spreadsheets/d/1SX6NBoVAgQJ6U1MVXOaj8PK2l7WJ3RER9xtqwdhxkhw/edit?usp=sharing"",""พระนครศรีอยุธยา!J491"")"),0)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IFERROR(__xludf.DUMMYFUNCTION("IMPORTRANGE(""https://docs.google.com/spreadsheets/d/1SX6NBoVAgQJ6U1MVXOaj8PK2l7WJ3RER9xtqwdhxkhw/edit?usp=sharing"",""พระนครศรีอยุธยา!I492"")"),100)</f>
        <v>100</v>
      </c>
      <c r="J597" s="487">
        <f ca="1">IFERROR(__xludf.DUMMYFUNCTION("IMPORTRANGE(""https://docs.google.com/spreadsheets/d/1SX6NBoVAgQJ6U1MVXOaj8PK2l7WJ3RER9xtqwdhxkhw/edit?usp=sharing"",""พระนครศรีอยุธยา!J492"")"),0)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IFERROR(__xludf.DUMMYFUNCTION("IMPORTRANGE(""https://docs.google.com/spreadsheets/d/1SX6NBoVAgQJ6U1MVXOaj8PK2l7WJ3RER9xtqwdhxkhw/edit?usp=sharing"",""พระนครศรีอยุธยา!L492"")"),7300)</f>
        <v>7300</v>
      </c>
      <c r="M597" s="412"/>
      <c r="N597" s="412">
        <f ca="1">IFERROR(__xludf.DUMMYFUNCTION("IMPORTRANGE(""https://docs.google.com/spreadsheets/d/1SX6NBoVAgQJ6U1MVXOaj8PK2l7WJ3RER9xtqwdhxkhw/edit?usp=sharing"",""พระนครศรีอยุธยา!M492"")"),385.2)</f>
        <v>385.2</v>
      </c>
      <c r="O597" s="412">
        <f t="shared" ref="O597:O601" ca="1" si="126">+IF(L597&gt;0,N597*100/L597,0)</f>
        <v>5.2767123287671236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IFERROR(__xludf.DUMMYFUNCTION("IMPORTRANGE(""https://docs.google.com/spreadsheets/d/1SX6NBoVAgQJ6U1MVXOaj8PK2l7WJ3RER9xtqwdhxkhw/edit?usp=sharing"",""พระนครศรีอยุธยา!L493"")"),0)</f>
        <v>0</v>
      </c>
      <c r="M598" s="164"/>
      <c r="N598" s="169">
        <f ca="1">IFERROR(__xludf.DUMMYFUNCTION("IMPORTRANGE(""https://docs.google.com/spreadsheets/d/1SX6NBoVAgQJ6U1MVXOaj8PK2l7WJ3RER9xtqwdhxkhw/edit?usp=sharing"",""พระนครศรีอยุธยา!M493"")"),0)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IFERROR(__xludf.DUMMYFUNCTION("IMPORTRANGE(""https://docs.google.com/spreadsheets/d/1SX6NBoVAgQJ6U1MVXOaj8PK2l7WJ3RER9xtqwdhxkhw/edit?usp=sharing"",""พระนครศรีอยุธยา!L494"")"),7300)</f>
        <v>7300</v>
      </c>
      <c r="M599" s="165"/>
      <c r="N599" s="169">
        <f ca="1">IFERROR(__xludf.DUMMYFUNCTION("IMPORTRANGE(""https://docs.google.com/spreadsheets/d/1SX6NBoVAgQJ6U1MVXOaj8PK2l7WJ3RER9xtqwdhxkhw/edit?usp=sharing"",""พระนครศรีอยุธยา!M494"")"),385.2)</f>
        <v>385.2</v>
      </c>
      <c r="O599" s="169">
        <f t="shared" ca="1" si="126"/>
        <v>5.2767123287671236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IFERROR(__xludf.DUMMYFUNCTION("IMPORTRANGE(""https://docs.google.com/spreadsheets/d/1SX6NBoVAgQJ6U1MVXOaj8PK2l7WJ3RER9xtqwdhxkhw/edit?usp=sharing"",""พระนครศรีอยุธยา!L495"")"),0)</f>
        <v>0</v>
      </c>
      <c r="M600" s="169"/>
      <c r="N600" s="169">
        <f ca="1">IFERROR(__xludf.DUMMYFUNCTION("IMPORTRANGE(""https://docs.google.com/spreadsheets/d/1SX6NBoVAgQJ6U1MVXOaj8PK2l7WJ3RER9xtqwdhxkhw/edit?usp=sharing"",""พระนครศรีอยุธยา!M495"")"),0)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IFERROR(__xludf.DUMMYFUNCTION("IMPORTRANGE(""https://docs.google.com/spreadsheets/d/1SX6NBoVAgQJ6U1MVXOaj8PK2l7WJ3RER9xtqwdhxkhw/edit?usp=sharing"",""พระนครศรีอยุธยา!L496"")"),7300)</f>
        <v>7300</v>
      </c>
      <c r="M601" s="169"/>
      <c r="N601" s="169">
        <f ca="1">IFERROR(__xludf.DUMMYFUNCTION("IMPORTRANGE(""https://docs.google.com/spreadsheets/d/1SX6NBoVAgQJ6U1MVXOaj8PK2l7WJ3RER9xtqwdhxkhw/edit?usp=sharing"",""พระนครศรีอยุธยา!M496"")"),385.2)</f>
        <v>385.2</v>
      </c>
      <c r="O601" s="169">
        <f t="shared" ca="1" si="126"/>
        <v>5.2767123287671236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IFERROR(__xludf.DUMMYFUNCTION("IMPORTRANGE(""https://docs.google.com/spreadsheets/d/1SX6NBoVAgQJ6U1MVXOaj8PK2l7WJ3RER9xtqwdhxkhw/edit?usp=sharing"",""พระนครศรีอยุธยา!M497"")"),0)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IFERROR(__xludf.DUMMYFUNCTION("IMPORTRANGE(""https://docs.google.com/spreadsheets/d/1SX6NBoVAgQJ6U1MVXOaj8PK2l7WJ3RER9xtqwdhxkhw/edit?usp=sharing"",""พระนครศรีอยุธยา!M498"")"),0)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IFERROR(__xludf.DUMMYFUNCTION("IMPORTRANGE(""https://docs.google.com/spreadsheets/d/1SX6NBoVAgQJ6U1MVXOaj8PK2l7WJ3RER9xtqwdhxkhw/edit?usp=sharing"",""พระนครศรีอยุธยา!M499"")"),0)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IFERROR(__xludf.DUMMYFUNCTION("IMPORTRANGE(""https://docs.google.com/spreadsheets/d/1SX6NBoVAgQJ6U1MVXOaj8PK2l7WJ3RER9xtqwdhxkhw/edit?usp=sharing"",""พระนครศรีอยุธยา!M500"")"),385.2)</f>
        <v>385.2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IFERROR(__xludf.DUMMYFUNCTION("IMPORTRANGE(""https://docs.google.com/spreadsheets/d/1SX6NBoVAgQJ6U1MVXOaj8PK2l7WJ3RER9xtqwdhxkhw/edit?usp=sharing"",""พระนครศรีอยุธยา!J502"")"),0)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IFERROR(__xludf.DUMMYFUNCTION("IMPORTRANGE(""https://docs.google.com/spreadsheets/d/1SX6NBoVAgQJ6U1MVXOaj8PK2l7WJ3RER9xtqwdhxkhw/edit?usp=sharing"",""พระนครศรีอยุธยา!J503"")"),1)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IFERROR(__xludf.DUMMYFUNCTION("IMPORTRANGE(""https://docs.google.com/spreadsheets/d/1SX6NBoVAgQJ6U1MVXOaj8PK2l7WJ3RER9xtqwdhxkhw/edit?usp=sharing"",""พระนครศรีอยุธยา!I506"")"),100)</f>
        <v>100</v>
      </c>
      <c r="J611" s="162">
        <f ca="1">IFERROR(__xludf.DUMMYFUNCTION("IMPORTRANGE(""https://docs.google.com/spreadsheets/d/1SX6NBoVAgQJ6U1MVXOaj8PK2l7WJ3RER9xtqwdhxkhw/edit?usp=sharing"",""พระนครศรีอยุธยา!J506"")"),0)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IFERROR(__xludf.DUMMYFUNCTION("IMPORTRANGE(""https://docs.google.com/spreadsheets/d/1SX6NBoVAgQJ6U1MVXOaj8PK2l7WJ3RER9xtqwdhxkhw/edit?usp=sharing"",""พระนครศรีอยุธยา!I507"")"),0)</f>
        <v>0</v>
      </c>
      <c r="J612" s="198">
        <f ca="1">IFERROR(__xludf.DUMMYFUNCTION("IMPORTRANGE(""https://docs.google.com/spreadsheets/d/1SX6NBoVAgQJ6U1MVXOaj8PK2l7WJ3RER9xtqwdhxkhw/edit?usp=sharing"",""พระนครศรีอยุธยา!J507"")"),280)</f>
        <v>280</v>
      </c>
      <c r="K612" s="163">
        <f t="shared" ca="1" si="127"/>
        <v>280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IFERROR(__xludf.DUMMYFUNCTION("IMPORTRANGE(""https://docs.google.com/spreadsheets/d/1SX6NBoVAgQJ6U1MVXOaj8PK2l7WJ3RER9xtqwdhxkhw/edit?usp=sharing"",""พระนครศรีอยุธยา!I508"")"),0)</f>
        <v>0</v>
      </c>
      <c r="J613" s="198">
        <f ca="1">IFERROR(__xludf.DUMMYFUNCTION("IMPORTRANGE(""https://docs.google.com/spreadsheets/d/1SX6NBoVAgQJ6U1MVXOaj8PK2l7WJ3RER9xtqwdhxkhw/edit?usp=sharing"",""พระนครศรีอยุธยา!J508"")"),280)</f>
        <v>280</v>
      </c>
      <c r="K613" s="163">
        <f t="shared" ca="1" si="127"/>
        <v>280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IFERROR(__xludf.DUMMYFUNCTION("IMPORTRANGE(""https://docs.google.com/spreadsheets/d/1SX6NBoVAgQJ6U1MVXOaj8PK2l7WJ3RER9xtqwdhxkhw/edit?usp=sharing"",""พระนครศรีอยุธยา!I509"")"),0)</f>
        <v>0</v>
      </c>
      <c r="J614" s="198">
        <f ca="1">IFERROR(__xludf.DUMMYFUNCTION("IMPORTRANGE(""https://docs.google.com/spreadsheets/d/1SX6NBoVAgQJ6U1MVXOaj8PK2l7WJ3RER9xtqwdhxkhw/edit?usp=sharing"",""พระนครศรีอยุธยา!J509"")"),280)</f>
        <v>280</v>
      </c>
      <c r="K614" s="163">
        <f t="shared" ca="1" si="127"/>
        <v>280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IFERROR(__xludf.DUMMYFUNCTION("IMPORTRANGE(""https://docs.google.com/spreadsheets/d/1SX6NBoVAgQJ6U1MVXOaj8PK2l7WJ3RER9xtqwdhxkhw/edit?usp=sharing"",""พระนครศรีอยุธยา!I510"")"),0)</f>
        <v>0</v>
      </c>
      <c r="J615" s="198">
        <f ca="1">IFERROR(__xludf.DUMMYFUNCTION("IMPORTRANGE(""https://docs.google.com/spreadsheets/d/1SX6NBoVAgQJ6U1MVXOaj8PK2l7WJ3RER9xtqwdhxkhw/edit?usp=sharing"",""พระนครศรีอยุธยา!J510"")"),280)</f>
        <v>280</v>
      </c>
      <c r="K615" s="163">
        <f t="shared" ca="1" si="127"/>
        <v>280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IFERROR(__xludf.DUMMYFUNCTION("IMPORTRANGE(""https://docs.google.com/spreadsheets/d/1SX6NBoVAgQJ6U1MVXOaj8PK2l7WJ3RER9xtqwdhxkhw/edit?usp=sharing"",""พระนครศรีอยุธยา!I511"")"),0)</f>
        <v>0</v>
      </c>
      <c r="J616" s="198">
        <f ca="1">IFERROR(__xludf.DUMMYFUNCTION("IMPORTRANGE(""https://docs.google.com/spreadsheets/d/1SX6NBoVAgQJ6U1MVXOaj8PK2l7WJ3RER9xtqwdhxkhw/edit?usp=sharing"",""พระนครศรีอยุธยา!J511"")"),0)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IFERROR(__xludf.DUMMYFUNCTION("IMPORTRANGE(""https://docs.google.com/spreadsheets/d/1SX6NBoVAgQJ6U1MVXOaj8PK2l7WJ3RER9xtqwdhxkhw/edit?usp=sharing"",""พระนครศรีอยุธยา!I512"")"),0)</f>
        <v>0</v>
      </c>
      <c r="J617" s="188">
        <f ca="1">IFERROR(__xludf.DUMMYFUNCTION("IMPORTRANGE(""https://docs.google.com/spreadsheets/d/1SX6NBoVAgQJ6U1MVXOaj8PK2l7WJ3RER9xtqwdhxkhw/edit?usp=sharing"",""พระนครศรีอยุธยา!J512"")"),0)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IFERROR(__xludf.DUMMYFUNCTION("IMPORTRANGE(""https://docs.google.com/spreadsheets/d/1SX6NBoVAgQJ6U1MVXOaj8PK2l7WJ3RER9xtqwdhxkhw/edit?usp=sharing"",""พระนครศรีอยุธยา!I513"")"),0)</f>
        <v>0</v>
      </c>
      <c r="J618" s="189">
        <f ca="1">IFERROR(__xludf.DUMMYFUNCTION("IMPORTRANGE(""https://docs.google.com/spreadsheets/d/1SX6NBoVAgQJ6U1MVXOaj8PK2l7WJ3RER9xtqwdhxkhw/edit?usp=sharing"",""พระนครศรีอยุธยา!J513"")"),0)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IFERROR(__xludf.DUMMYFUNCTION("IMPORTRANGE(""https://docs.google.com/spreadsheets/d/1SX6NBoVAgQJ6U1MVXOaj8PK2l7WJ3RER9xtqwdhxkhw/edit?usp=sharing"",""พระนครศรีอยุธยา!I514"")"),0)</f>
        <v>0</v>
      </c>
      <c r="J619" s="189">
        <f ca="1">IFERROR(__xludf.DUMMYFUNCTION("IMPORTRANGE(""https://docs.google.com/spreadsheets/d/1SX6NBoVAgQJ6U1MVXOaj8PK2l7WJ3RER9xtqwdhxkhw/edit?usp=sharing"",""พระนครศรีอยุธยา!J514"")"),0)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IFERROR(__xludf.DUMMYFUNCTION("IMPORTRANGE(""https://docs.google.com/spreadsheets/d/1SX6NBoVAgQJ6U1MVXOaj8PK2l7WJ3RER9xtqwdhxkhw/edit?usp=sharing"",""พระนครศรีอยุธยา!I515"")"),0)</f>
        <v>0</v>
      </c>
      <c r="J620" s="203">
        <f ca="1">IFERROR(__xludf.DUMMYFUNCTION("IMPORTRANGE(""https://docs.google.com/spreadsheets/d/1SX6NBoVAgQJ6U1MVXOaj8PK2l7WJ3RER9xtqwdhxkhw/edit?usp=sharing"",""พระนครศรีอยุธยา!J515"")"),0)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IFERROR(__xludf.DUMMYFUNCTION("IMPORTRANGE(""https://docs.google.com/spreadsheets/d/1SX6NBoVAgQJ6U1MVXOaj8PK2l7WJ3RER9xtqwdhxkhw/edit?usp=sharing"",""พระนครศรีอยุธยา!I516"")"),0)</f>
        <v>0</v>
      </c>
      <c r="J621" s="203">
        <f ca="1">IFERROR(__xludf.DUMMYFUNCTION("IMPORTRANGE(""https://docs.google.com/spreadsheets/d/1SX6NBoVAgQJ6U1MVXOaj8PK2l7WJ3RER9xtqwdhxkhw/edit?usp=sharing"",""พระนครศรีอยุธยา!J516"")"),0)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IFERROR(__xludf.DUMMYFUNCTION("IMPORTRANGE(""https://docs.google.com/spreadsheets/d/1SX6NBoVAgQJ6U1MVXOaj8PK2l7WJ3RER9xtqwdhxkhw/edit?usp=sharing"",""พระนครศรีอยุธยา!I517"")"),0)</f>
        <v>0</v>
      </c>
      <c r="J622" s="189">
        <f ca="1">IFERROR(__xludf.DUMMYFUNCTION("IMPORTRANGE(""https://docs.google.com/spreadsheets/d/1SX6NBoVAgQJ6U1MVXOaj8PK2l7WJ3RER9xtqwdhxkhw/edit?usp=sharing"",""พระนครศรีอยุธยา!J517"")"),0)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IFERROR(__xludf.DUMMYFUNCTION("IMPORTRANGE(""https://docs.google.com/spreadsheets/d/1SX6NBoVAgQJ6U1MVXOaj8PK2l7WJ3RER9xtqwdhxkhw/edit?usp=sharing"",""พระนครศรีอยุธยา!I518"")"),0)</f>
        <v>0</v>
      </c>
      <c r="J623" s="189">
        <f ca="1">IFERROR(__xludf.DUMMYFUNCTION("IMPORTRANGE(""https://docs.google.com/spreadsheets/d/1SX6NBoVAgQJ6U1MVXOaj8PK2l7WJ3RER9xtqwdhxkhw/edit?usp=sharing"",""พระนครศรีอยุธยา!J518"")"),0)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IFERROR(__xludf.DUMMYFUNCTION("IMPORTRANGE(""https://docs.google.com/spreadsheets/d/1SX6NBoVAgQJ6U1MVXOaj8PK2l7WJ3RER9xtqwdhxkhw/edit?usp=sharing"",""พระนครศรีอยุธยา!I519"")"),0)</f>
        <v>0</v>
      </c>
      <c r="J624" s="188">
        <f ca="1">IFERROR(__xludf.DUMMYFUNCTION("IMPORTRANGE(""https://docs.google.com/spreadsheets/d/1SX6NBoVAgQJ6U1MVXOaj8PK2l7WJ3RER9xtqwdhxkhw/edit?usp=sharing"",""พระนครศรีอยุธยา!J519"")"),0)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IFERROR(__xludf.DUMMYFUNCTION("IMPORTRANGE(""https://docs.google.com/spreadsheets/d/1SX6NBoVAgQJ6U1MVXOaj8PK2l7WJ3RER9xtqwdhxkhw/edit?usp=sharing"",""พระนครศรีอยุธยา!I520"")"),0)</f>
        <v>0</v>
      </c>
      <c r="J625" s="189">
        <f ca="1">IFERROR(__xludf.DUMMYFUNCTION("IMPORTRANGE(""https://docs.google.com/spreadsheets/d/1SX6NBoVAgQJ6U1MVXOaj8PK2l7WJ3RER9xtqwdhxkhw/edit?usp=sharing"",""พระนครศรีอยุธยา!J520"")"),0)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IFERROR(__xludf.DUMMYFUNCTION("IMPORTRANGE(""https://docs.google.com/spreadsheets/d/1SX6NBoVAgQJ6U1MVXOaj8PK2l7WJ3RER9xtqwdhxkhw/edit?usp=sharing"",""พระนครศรีอยุธยา!I521"")"),0)</f>
        <v>0</v>
      </c>
      <c r="J626" s="189">
        <f ca="1">IFERROR(__xludf.DUMMYFUNCTION("IMPORTRANGE(""https://docs.google.com/spreadsheets/d/1SX6NBoVAgQJ6U1MVXOaj8PK2l7WJ3RER9xtqwdhxkhw/edit?usp=sharing"",""พระนครศรีอยุธยา!J521"")"),0)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41">
        <f ca="1">IFERROR(__xludf.DUMMYFUNCTION("IMPORTRANGE(""https://docs.google.com/spreadsheets/d/1SX6NBoVAgQJ6U1MVXOaj8PK2l7WJ3RER9xtqwdhxkhw/edit?usp=sharing"",""พระนครศรีอยุธยา!J523"")"),0)</f>
        <v>0</v>
      </c>
      <c r="K628" s="342">
        <f t="shared" ref="K628:K635" ca="1" si="129">IF(I628&gt;0,J628*100/I628,0)</f>
        <v>0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IFERROR(__xludf.DUMMYFUNCTION("IMPORTRANGE(""https://docs.google.com/spreadsheets/d/1SX6NBoVAgQJ6U1MVXOaj8PK2l7WJ3RER9xtqwdhxkhw/edit?usp=sharing"",""พระนครศรีอยุธยา!I524"")"),44)</f>
        <v>44</v>
      </c>
      <c r="J629" s="341">
        <f ca="1">IFERROR(__xludf.DUMMYFUNCTION("IMPORTRANGE(""https://docs.google.com/spreadsheets/d/1SX6NBoVAgQJ6U1MVXOaj8PK2l7WJ3RER9xtqwdhxkhw/edit?usp=sharing"",""พระนครศรีอยุธยา!J524"")"),0)</f>
        <v>0</v>
      </c>
      <c r="K629" s="342">
        <f t="shared" ca="1" si="129"/>
        <v>0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IFERROR(__xludf.DUMMYFUNCTION("IMPORTRANGE(""https://docs.google.com/spreadsheets/d/1SX6NBoVAgQJ6U1MVXOaj8PK2l7WJ3RER9xtqwdhxkhw/edit?usp=sharing"",""พระนครศรีอยุธยา!I525"")"),8858387.3)</f>
        <v>8858387.3000000007</v>
      </c>
      <c r="J630" s="341">
        <f ca="1">IFERROR(__xludf.DUMMYFUNCTION("IMPORTRANGE(""https://docs.google.com/spreadsheets/d/1SX6NBoVAgQJ6U1MVXOaj8PK2l7WJ3RER9xtqwdhxkhw/edit?usp=sharing"",""พระนครศรีอยุธยา!J525"")"),1348201.01)</f>
        <v>1348201.01</v>
      </c>
      <c r="K630" s="342">
        <f t="shared" ca="1" si="129"/>
        <v>15.219485944128904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IFERROR(__xludf.DUMMYFUNCTION("IMPORTRANGE(""https://docs.google.com/spreadsheets/d/1SX6NBoVAgQJ6U1MVXOaj8PK2l7WJ3RER9xtqwdhxkhw/edit?usp=sharing"",""พระนครศรีอยุธยา!I526"")"),266)</f>
        <v>266</v>
      </c>
      <c r="J631" s="341">
        <f ca="1">IFERROR(__xludf.DUMMYFUNCTION("IMPORTRANGE(""https://docs.google.com/spreadsheets/d/1SX6NBoVAgQJ6U1MVXOaj8PK2l7WJ3RER9xtqwdhxkhw/edit?usp=sharing"",""พระนครศรีอยุธยา!J526"")"),143)</f>
        <v>143</v>
      </c>
      <c r="K631" s="342">
        <f t="shared" ca="1" si="129"/>
        <v>53.7593984962406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IFERROR(__xludf.DUMMYFUNCTION("IMPORTRANGE(""https://docs.google.com/spreadsheets/d/1SX6NBoVAgQJ6U1MVXOaj8PK2l7WJ3RER9xtqwdhxkhw/edit?usp=sharing"",""พระนครศรีอยุธยา!I527"")"),1520017.15)</f>
        <v>1520017.15</v>
      </c>
      <c r="J632" s="341">
        <f ca="1">IFERROR(__xludf.DUMMYFUNCTION("IMPORTRANGE(""https://docs.google.com/spreadsheets/d/1SX6NBoVAgQJ6U1MVXOaj8PK2l7WJ3RER9xtqwdhxkhw/edit?usp=sharing"",""พระนครศรีอยุธยา!J527"")"),423989.06)</f>
        <v>423989.06</v>
      </c>
      <c r="K632" s="342">
        <f t="shared" ca="1" si="129"/>
        <v>27.893702383555347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IFERROR(__xludf.DUMMYFUNCTION("IMPORTRANGE(""https://docs.google.com/spreadsheets/d/1SX6NBoVAgQJ6U1MVXOaj8PK2l7WJ3RER9xtqwdhxkhw/edit?usp=sharing"",""พระนครศรีอยุธยา!I528"")"),1484)</f>
        <v>1484</v>
      </c>
      <c r="J633" s="341">
        <f ca="1">IFERROR(__xludf.DUMMYFUNCTION("IMPORTRANGE(""https://docs.google.com/spreadsheets/d/1SX6NBoVAgQJ6U1MVXOaj8PK2l7WJ3RER9xtqwdhxkhw/edit?usp=sharing"",""พระนครศรีอยุธยา!J528"")"),940)</f>
        <v>940</v>
      </c>
      <c r="K633" s="342">
        <f t="shared" ca="1" si="129"/>
        <v>63.342318059299188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IFERROR(__xludf.DUMMYFUNCTION("IMPORTRANGE(""https://docs.google.com/spreadsheets/d/1SX6NBoVAgQJ6U1MVXOaj8PK2l7WJ3RER9xtqwdhxkhw/edit?usp=sharing"",""พระนครศรีอยุธยา!I529"")"),1500000)</f>
        <v>1500000</v>
      </c>
      <c r="J634" s="341">
        <f ca="1">IFERROR(__xludf.DUMMYFUNCTION("IMPORTRANGE(""https://docs.google.com/spreadsheets/d/1SX6NBoVAgQJ6U1MVXOaj8PK2l7WJ3RER9xtqwdhxkhw/edit?usp=sharing"",""พระนครศรีอยุธยา!J529"")"),0)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IFERROR(__xludf.DUMMYFUNCTION("IMPORTRANGE(""https://docs.google.com/spreadsheets/d/1SX6NBoVAgQJ6U1MVXOaj8PK2l7WJ3RER9xtqwdhxkhw/edit?usp=sharing"",""พระนครศรีอยุธยา!I530"")"),50)</f>
        <v>50</v>
      </c>
      <c r="J635" s="504">
        <f ca="1">IFERROR(__xludf.DUMMYFUNCTION("IMPORTRANGE(""https://docs.google.com/spreadsheets/d/1SX6NBoVAgQJ6U1MVXOaj8PK2l7WJ3RER9xtqwdhxkhw/edit?usp=sharing"",""พระนครศรีอยุธยา!J530"")"),0)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G555" sqref="G555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4.179687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262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2842702</v>
      </c>
      <c r="M8" s="23">
        <f t="shared" ca="1" si="0"/>
        <v>1560357.8</v>
      </c>
      <c r="N8" s="23">
        <f t="shared" ca="1" si="0"/>
        <v>1552608.41</v>
      </c>
      <c r="O8" s="22">
        <f t="shared" ref="O8:O16" ca="1" si="1">IF(L8&gt;0,N8*100/L8,0)</f>
        <v>54.617346805961368</v>
      </c>
      <c r="P8" s="22">
        <f t="shared" ref="P8:P16" ca="1" si="2">IF(M8&gt;0,N8*100/M8,0)</f>
        <v>99.503358140036852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2842702</v>
      </c>
      <c r="M10" s="30">
        <f t="shared" ca="1" si="4"/>
        <v>1560357.8</v>
      </c>
      <c r="N10" s="30">
        <f t="shared" ca="1" si="4"/>
        <v>1552608.41</v>
      </c>
      <c r="O10" s="29">
        <f t="shared" ca="1" si="1"/>
        <v>54.617346805961368</v>
      </c>
      <c r="P10" s="29">
        <f t="shared" ca="1" si="2"/>
        <v>99.503358140036852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2664702</v>
      </c>
      <c r="M12" s="38">
        <f t="shared" ca="1" si="6"/>
        <v>1382357.8</v>
      </c>
      <c r="N12" s="38">
        <f t="shared" ca="1" si="6"/>
        <v>1374608.41</v>
      </c>
      <c r="O12" s="38">
        <f t="shared" ca="1" si="1"/>
        <v>51.585821228790309</v>
      </c>
      <c r="P12" s="38">
        <f t="shared" ca="1" si="2"/>
        <v>99.439407800209182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1547900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1116802</v>
      </c>
      <c r="M14" s="38">
        <f t="shared" si="8"/>
        <v>0</v>
      </c>
      <c r="N14" s="38">
        <f t="shared" ca="1" si="8"/>
        <v>415929</v>
      </c>
      <c r="O14" s="38">
        <f t="shared" ca="1" si="1"/>
        <v>37.242859522099707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178000</v>
      </c>
      <c r="M16" s="38">
        <f t="shared" ca="1" si="10"/>
        <v>178000</v>
      </c>
      <c r="N16" s="38">
        <f t="shared" ca="1" si="10"/>
        <v>178000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2005105</v>
      </c>
      <c r="M18" s="23">
        <f t="shared" ca="1" si="11"/>
        <v>1560357.8</v>
      </c>
      <c r="N18" s="23">
        <f t="shared" ca="1" si="11"/>
        <v>1136679.4099999999</v>
      </c>
      <c r="O18" s="22">
        <f t="shared" ref="O18:O20" ca="1" si="12">IF(L18&gt;0,N18*100/L18,0)</f>
        <v>56.689271135426814</v>
      </c>
      <c r="P18" s="22">
        <f t="shared" ref="P18:P26" ca="1" si="13">IF(M18&gt;0,N18*100/M18,0)</f>
        <v>72.847356548606982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2005105</v>
      </c>
      <c r="M20" s="30">
        <f t="shared" ca="1" si="15"/>
        <v>1560357.8</v>
      </c>
      <c r="N20" s="30">
        <f t="shared" ca="1" si="15"/>
        <v>1136679.4099999999</v>
      </c>
      <c r="O20" s="29">
        <f t="shared" ca="1" si="12"/>
        <v>56.689271135426814</v>
      </c>
      <c r="P20" s="29">
        <f t="shared" ca="1" si="13"/>
        <v>72.847356548606982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1827105</v>
      </c>
      <c r="M22" s="41">
        <f t="shared" ca="1" si="18"/>
        <v>1382357.8</v>
      </c>
      <c r="N22" s="38">
        <f t="shared" ca="1" si="18"/>
        <v>958679.40999999992</v>
      </c>
      <c r="O22" s="38">
        <f t="shared" ca="1" si="17"/>
        <v>52.469858601448735</v>
      </c>
      <c r="P22" s="38">
        <f t="shared" ca="1" si="13"/>
        <v>69.351032706582899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1547900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279205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178000</v>
      </c>
      <c r="M26" s="49">
        <f t="shared" ca="1" si="22"/>
        <v>178000</v>
      </c>
      <c r="N26" s="49">
        <f t="shared" ca="1" si="22"/>
        <v>178000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837597</v>
      </c>
      <c r="M28" s="23">
        <f t="shared" si="23"/>
        <v>0</v>
      </c>
      <c r="N28" s="23">
        <f t="shared" ca="1" si="23"/>
        <v>415929</v>
      </c>
      <c r="O28" s="22">
        <f t="shared" ref="O28:O30" ca="1" si="24">IF(L28&gt;0,N28*100/L28,0)</f>
        <v>49.657412813083141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837597</v>
      </c>
      <c r="M30" s="30">
        <f t="shared" si="27"/>
        <v>0</v>
      </c>
      <c r="N30" s="30">
        <f t="shared" ca="1" si="27"/>
        <v>415929</v>
      </c>
      <c r="O30" s="29">
        <f t="shared" ca="1" si="24"/>
        <v>49.657412813083141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837597</v>
      </c>
      <c r="M32" s="38">
        <f t="shared" si="30"/>
        <v>0</v>
      </c>
      <c r="N32" s="38">
        <f t="shared" ca="1" si="30"/>
        <v>415929</v>
      </c>
      <c r="O32" s="38">
        <f t="shared" ca="1" si="29"/>
        <v>49.657412813083141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837597</v>
      </c>
      <c r="M34" s="38">
        <f t="shared" si="32"/>
        <v>0</v>
      </c>
      <c r="N34" s="38">
        <f t="shared" ca="1" si="32"/>
        <v>415929</v>
      </c>
      <c r="O34" s="38">
        <f t="shared" ca="1" si="29"/>
        <v>49.657412813083141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2005105</v>
      </c>
      <c r="M37" s="54">
        <f t="shared" ca="1" si="33"/>
        <v>1560357.8</v>
      </c>
      <c r="N37" s="54">
        <f t="shared" ca="1" si="33"/>
        <v>1136679.4099999999</v>
      </c>
      <c r="O37" s="55">
        <f t="shared" ca="1" si="29"/>
        <v>56.689271135426814</v>
      </c>
      <c r="P37" s="55">
        <f t="shared" ca="1" si="25"/>
        <v>72.847356548606982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862100</v>
      </c>
      <c r="M41" s="78">
        <f t="shared" ca="1" si="34"/>
        <v>691100</v>
      </c>
      <c r="N41" s="78">
        <f t="shared" ca="1" si="34"/>
        <v>520946.11</v>
      </c>
      <c r="O41" s="77">
        <f t="shared" ref="O41:O43" ca="1" si="35">IF(L41&gt;0,N41*100/L41,0)</f>
        <v>60.427573367358775</v>
      </c>
      <c r="P41" s="77">
        <f t="shared" ref="P41:P43" ca="1" si="36">IF(M41&gt;0,N41*100/M41,0)</f>
        <v>75.379266386919397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862100</v>
      </c>
      <c r="M43" s="78">
        <f t="shared" ca="1" si="38"/>
        <v>691100</v>
      </c>
      <c r="N43" s="78">
        <f t="shared" ca="1" si="38"/>
        <v>520946.11</v>
      </c>
      <c r="O43" s="77">
        <f t="shared" ca="1" si="35"/>
        <v>60.427573367358775</v>
      </c>
      <c r="P43" s="77">
        <f t="shared" ca="1" si="36"/>
        <v>75.379266386919397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684100</v>
      </c>
      <c r="M45" s="49">
        <f ca="1">IFERROR(__xludf.DUMMYFUNCTION("IMPORTRANGE(""https://docs.google.com/spreadsheets/d/1Yj_ptqi66GCucihVvJfMjLAmec39IyEx_6qawtMGysU/edit?usp=sharing"",""สบก!Q71"")"),513100)</f>
        <v>513100</v>
      </c>
      <c r="N45" s="49">
        <f ca="1">IFERROR(__xludf.DUMMYFUNCTION("IMPORTRANGE(""https://docs.google.com/spreadsheets/d/1Yj_ptqi66GCucihVvJfMjLAmec39IyEx_6qawtMGysU/edit?usp=sharing"",""สบก!R71"")"),342946.11)</f>
        <v>342946.11</v>
      </c>
      <c r="O45" s="38">
        <f ca="1">IF(L45&gt;0,N45*100/L45,0)</f>
        <v>50.130991083174976</v>
      </c>
      <c r="P45" s="38">
        <f ca="1">IF(M45&gt;0,N45*100/M45,0)</f>
        <v>66.838064704735913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IFERROR(__xludf.DUMMYFUNCTION("IMPORTRANGE(""https://docs.google.com/spreadsheets/d/1Yj_ptqi66GCucihVvJfMjLAmec39IyEx_6qawtMGysU/edit?usp=sharing"",""สบก!M71"")"),684100)</f>
        <v>684100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IFERROR(__xludf.DUMMYFUNCTION("IMPORTRANGE(""https://docs.google.com/spreadsheets/d/1Yj_ptqi66GCucihVvJfMjLAmec39IyEx_6qawtMGysU/edit?usp=sharing"",""สบก!O71"")"),178000)</f>
        <v>178000</v>
      </c>
      <c r="M49" s="49">
        <f ca="1">L49</f>
        <v>178000</v>
      </c>
      <c r="N49" s="49">
        <f ca="1">IFERROR(__xludf.DUMMYFUNCTION("IMPORTRANGE(""https://docs.google.com/spreadsheets/d/1Yj_ptqi66GCucihVvJfMjLAmec39IyEx_6qawtMGysU/edit?usp=sharing"",""สบก!S71"")"),178000)</f>
        <v>178000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370000</v>
      </c>
      <c r="M53" s="121">
        <f t="shared" ca="1" si="39"/>
        <v>291987.8</v>
      </c>
      <c r="N53" s="121">
        <f t="shared" ca="1" si="39"/>
        <v>179924</v>
      </c>
      <c r="O53" s="120">
        <f t="shared" ref="O53:O55" ca="1" si="40">IF(L53&gt;0,N53*100/L53,0)</f>
        <v>48.628108108108108</v>
      </c>
      <c r="P53" s="120">
        <f t="shared" ref="P53:P55" ca="1" si="41">IF(M53&gt;0,N53*100/M53,0)</f>
        <v>61.620382769417084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370000</v>
      </c>
      <c r="M55" s="121">
        <f t="shared" ca="1" si="43"/>
        <v>291987.8</v>
      </c>
      <c r="N55" s="121">
        <f t="shared" ca="1" si="43"/>
        <v>179924</v>
      </c>
      <c r="O55" s="120">
        <f t="shared" ca="1" si="40"/>
        <v>48.628108108108108</v>
      </c>
      <c r="P55" s="120">
        <f t="shared" ca="1" si="41"/>
        <v>61.620382769417084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370000</v>
      </c>
      <c r="M57" s="49">
        <f ca="1">IFERROR(__xludf.DUMMYFUNCTION("IMPORTRANGE(""https://docs.google.com/spreadsheets/d/1Yj_ptqi66GCucihVvJfMjLAmec39IyEx_6qawtMGysU/edit?usp=sharing"",""สบก!Z71"")"),291987.8)</f>
        <v>291987.8</v>
      </c>
      <c r="N57" s="49">
        <f ca="1">IFERROR(__xludf.DUMMYFUNCTION("IMPORTRANGE(""https://docs.google.com/spreadsheets/d/1Yj_ptqi66GCucihVvJfMjLAmec39IyEx_6qawtMGysU/edit?usp=sharing"",""สบก!AA71"")"),179924)</f>
        <v>179924</v>
      </c>
      <c r="O57" s="38">
        <f ca="1">IF(L57&gt;0,N57*100/L57,0)</f>
        <v>48.628108108108108</v>
      </c>
      <c r="P57" s="38">
        <f ca="1">IF(M57&gt;0,N57*100/M57,0)</f>
        <v>61.620382769417084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IFERROR(__xludf.DUMMYFUNCTION("IMPORTRANGE(""https://docs.google.com/spreadsheets/d/1Yj_ptqi66GCucihVvJfMjLAmec39IyEx_6qawtMGysU/edit?usp=sharing"",""สบก!V71"")"),370000)</f>
        <v>370000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IFERROR(__xludf.DUMMYFUNCTION("IMPORTRANGE(""https://docs.google.com/spreadsheets/d/1Yj_ptqi66GCucihVvJfMjLAmec39IyEx_6qawtMGysU/edit?usp=sharing"",""สบก!X71"")"),0)</f>
        <v>0</v>
      </c>
      <c r="M61" s="49"/>
      <c r="N61" s="49">
        <f ca="1">IFERROR(__xludf.DUMMYFUNCTION("IMPORTRANGE(""https://docs.google.com/spreadsheets/d/1Yj_ptqi66GCucihVvJfMjLAmec39IyEx_6qawtMGysU/edit?usp=sharing"",""สบก!AB71"")"),0)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IFERROR(__xludf.DUMMYFUNCTION("IMPORTRANGE(""https://docs.google.com/spreadsheets/d/1SX6NBoVAgQJ6U1MVXOaj8PK2l7WJ3RER9xtqwdhxkhw/edit?usp=sharing"",""เพชรบุรี!I9"")"),0)</f>
        <v>0</v>
      </c>
      <c r="J64" s="142">
        <f ca="1">IFERROR(__xludf.DUMMYFUNCTION("IMPORTRANGE(""https://docs.google.com/spreadsheets/d/1SX6NBoVAgQJ6U1MVXOaj8PK2l7WJ3RER9xtqwdhxkhw/edit?usp=sharing"",""เพชรบุรี!J9"")"),0)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IFERROR(__xludf.DUMMYFUNCTION("IMPORTRANGE(""https://docs.google.com/spreadsheets/d/1SX6NBoVAgQJ6U1MVXOaj8PK2l7WJ3RER9xtqwdhxkhw/edit?usp=sharing"",""เพชรบุรี!I10"")"),0)</f>
        <v>0</v>
      </c>
      <c r="J65" s="142">
        <f ca="1">IFERROR(__xludf.DUMMYFUNCTION("IMPORTRANGE(""https://docs.google.com/spreadsheets/d/1SX6NBoVAgQJ6U1MVXOaj8PK2l7WJ3RER9xtqwdhxkhw/edit?usp=sharing"",""เพชรบุรี!J10"")"),0)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IFERROR(__xludf.DUMMYFUNCTION("IMPORTRANGE(""https://docs.google.com/spreadsheets/d/1Yj_ptqi66GCucihVvJfMjLAmec39IyEx_6qawtMGysU/edit?usp=sharing"",""สบก!AI71"")"),0)</f>
        <v>0</v>
      </c>
      <c r="N70" s="169">
        <f ca="1">IFERROR(__xludf.DUMMYFUNCTION("IMPORTRANGE(""https://docs.google.com/spreadsheets/d/1Yj_ptqi66GCucihVvJfMjLAmec39IyEx_6qawtMGysU/edit?usp=sharing"",""สบก!AJ71"")"),0)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IFERROR(__xludf.DUMMYFUNCTION("IMPORTRANGE(""https://docs.google.com/spreadsheets/d/1Yj_ptqi66GCucihVvJfMjLAmec39IyEx_6qawtMGysU/edit?usp=sharing"",""สบก!AE71"")"),0)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IFERROR(__xludf.DUMMYFUNCTION("IMPORTRANGE(""https://docs.google.com/spreadsheets/d/1Yj_ptqi66GCucihVvJfMjLAmec39IyEx_6qawtMGysU/edit?usp=sharing"",""สบก!AF71"")"),0)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IFERROR(__xludf.DUMMYFUNCTION("IMPORTRANGE(""https://docs.google.com/spreadsheets/d/1Yj_ptqi66GCucihVvJfMjLAmec39IyEx_6qawtMGysU/edit?usp=sharing"",""สบก!AG71"")"),0)</f>
        <v>0</v>
      </c>
      <c r="M74" s="49"/>
      <c r="N74" s="49">
        <f ca="1">IFERROR(__xludf.DUMMYFUNCTION("IMPORTRANGE(""https://docs.google.com/spreadsheets/d/1Yj_ptqi66GCucihVvJfMjLAmec39IyEx_6qawtMGysU/edit?usp=sharing"",""สบก!AK71"")"),0)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IFERROR(__xludf.DUMMYFUNCTION("IMPORTRANGE(""https://docs.google.com/spreadsheets/d/1SX6NBoVAgQJ6U1MVXOaj8PK2l7WJ3RER9xtqwdhxkhw/edit?usp=sharing"",""เพชรบุรี!J16"")"),0)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IFERROR(__xludf.DUMMYFUNCTION("IMPORTRANGE(""https://docs.google.com/spreadsheets/d/1SX6NBoVAgQJ6U1MVXOaj8PK2l7WJ3RER9xtqwdhxkhw/edit?usp=sharing"",""เพชรบุรี!J17"")"),0)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IFERROR(__xludf.DUMMYFUNCTION("IMPORTRANGE(""https://docs.google.com/spreadsheets/d/1SX6NBoVAgQJ6U1MVXOaj8PK2l7WJ3RER9xtqwdhxkhw/edit?usp=sharing"",""เพชรบุรี!J18"")"),0)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IFERROR(__xludf.DUMMYFUNCTION("IMPORTRANGE(""https://docs.google.com/spreadsheets/d/1SX6NBoVAgQJ6U1MVXOaj8PK2l7WJ3RER9xtqwdhxkhw/edit?usp=sharing"",""เพชรบุรี!J19"")"),0)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IFERROR(__xludf.DUMMYFUNCTION("IMPORTRANGE(""https://docs.google.com/spreadsheets/d/1SX6NBoVAgQJ6U1MVXOaj8PK2l7WJ3RER9xtqwdhxkhw/edit?usp=sharing"",""เพชรบุรี!I20"")"),0)</f>
        <v>0</v>
      </c>
      <c r="J80" s="201">
        <f ca="1">IFERROR(__xludf.DUMMYFUNCTION("IMPORTRANGE(""https://docs.google.com/spreadsheets/d/1SX6NBoVAgQJ6U1MVXOaj8PK2l7WJ3RER9xtqwdhxkhw/edit?usp=sharing"",""เพชรบุรี!J20"")"),0)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IFERROR(__xludf.DUMMYFUNCTION("IMPORTRANGE(""https://docs.google.com/spreadsheets/d/1SX6NBoVAgQJ6U1MVXOaj8PK2l7WJ3RER9xtqwdhxkhw/edit?usp=sharing"",""เพชรบุรี!I21"")"),0)</f>
        <v>0</v>
      </c>
      <c r="J81" s="201">
        <f ca="1">IFERROR(__xludf.DUMMYFUNCTION("IMPORTRANGE(""https://docs.google.com/spreadsheets/d/1SX6NBoVAgQJ6U1MVXOaj8PK2l7WJ3RER9xtqwdhxkhw/edit?usp=sharing"",""เพชรบุรี!J21"")"),0)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IFERROR(__xludf.DUMMYFUNCTION("IMPORTRANGE(""https://docs.google.com/spreadsheets/d/1SX6NBoVAgQJ6U1MVXOaj8PK2l7WJ3RER9xtqwdhxkhw/edit?usp=sharing"",""เพชรบุรี!I22"")"),0)</f>
        <v>0</v>
      </c>
      <c r="J82" s="204">
        <f ca="1">IFERROR(__xludf.DUMMYFUNCTION("IMPORTRANGE(""https://docs.google.com/spreadsheets/d/1SX6NBoVAgQJ6U1MVXOaj8PK2l7WJ3RER9xtqwdhxkhw/edit?usp=sharing"",""เพชรบุรี!J22"")"),0)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IFERROR(__xludf.DUMMYFUNCTION("IMPORTRANGE(""https://docs.google.com/spreadsheets/d/1SX6NBoVAgQJ6U1MVXOaj8PK2l7WJ3RER9xtqwdhxkhw/edit?usp=sharing"",""เพชรบุรี!I23"")"),0)</f>
        <v>0</v>
      </c>
      <c r="J83" s="204">
        <f ca="1">IFERROR(__xludf.DUMMYFUNCTION("IMPORTRANGE(""https://docs.google.com/spreadsheets/d/1SX6NBoVAgQJ6U1MVXOaj8PK2l7WJ3RER9xtqwdhxkhw/edit?usp=sharing"",""เพชรบุรี!J23"")"),0)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IFERROR(__xludf.DUMMYFUNCTION("IMPORTRANGE(""https://docs.google.com/spreadsheets/d/1SX6NBoVAgQJ6U1MVXOaj8PK2l7WJ3RER9xtqwdhxkhw/edit?usp=sharing"",""เพชรบุรี!I24"")"),0)</f>
        <v>0</v>
      </c>
      <c r="J84" s="189">
        <f ca="1">IFERROR(__xludf.DUMMYFUNCTION("IMPORTRANGE(""https://docs.google.com/spreadsheets/d/1SX6NBoVAgQJ6U1MVXOaj8PK2l7WJ3RER9xtqwdhxkhw/edit?usp=sharing"",""เพชรบุรี!J24"")"),0)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IFERROR(__xludf.DUMMYFUNCTION("IMPORTRANGE(""https://docs.google.com/spreadsheets/d/1SX6NBoVAgQJ6U1MVXOaj8PK2l7WJ3RER9xtqwdhxkhw/edit?usp=sharing"",""เพชรบุรี!I25"")"),0)</f>
        <v>0</v>
      </c>
      <c r="J85" s="189">
        <f ca="1">IFERROR(__xludf.DUMMYFUNCTION("IMPORTRANGE(""https://docs.google.com/spreadsheets/d/1SX6NBoVAgQJ6U1MVXOaj8PK2l7WJ3RER9xtqwdhxkhw/edit?usp=sharing"",""เพชรบุรี!J25"")"),0)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IFERROR(__xludf.DUMMYFUNCTION("IMPORTRANGE(""https://docs.google.com/spreadsheets/d/1SX6NBoVAgQJ6U1MVXOaj8PK2l7WJ3RER9xtqwdhxkhw/edit?usp=sharing"",""เพชรบุรี!I26"")"),0)</f>
        <v>0</v>
      </c>
      <c r="J86" s="204">
        <f ca="1">IFERROR(__xludf.DUMMYFUNCTION("IMPORTRANGE(""https://docs.google.com/spreadsheets/d/1SX6NBoVAgQJ6U1MVXOaj8PK2l7WJ3RER9xtqwdhxkhw/edit?usp=sharing"",""เพชรบุรี!J26"")"),0)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IFERROR(__xludf.DUMMYFUNCTION("IMPORTRANGE(""https://docs.google.com/spreadsheets/d/1SX6NBoVAgQJ6U1MVXOaj8PK2l7WJ3RER9xtqwdhxkhw/edit?usp=sharing"",""เพชรบุรี!I27"")"),0)</f>
        <v>0</v>
      </c>
      <c r="J87" s="204">
        <f ca="1">IFERROR(__xludf.DUMMYFUNCTION("IMPORTRANGE(""https://docs.google.com/spreadsheets/d/1SX6NBoVAgQJ6U1MVXOaj8PK2l7WJ3RER9xtqwdhxkhw/edit?usp=sharing"",""เพชรบุรี!J27"")"),0)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IFERROR(__xludf.DUMMYFUNCTION("IMPORTRANGE(""https://docs.google.com/spreadsheets/d/1SX6NBoVAgQJ6U1MVXOaj8PK2l7WJ3RER9xtqwdhxkhw/edit?usp=sharing"",""เพชรบุรี!I28"")"),0)</f>
        <v>0</v>
      </c>
      <c r="J88" s="204">
        <f ca="1">IFERROR(__xludf.DUMMYFUNCTION("IMPORTRANGE(""https://docs.google.com/spreadsheets/d/1SX6NBoVAgQJ6U1MVXOaj8PK2l7WJ3RER9xtqwdhxkhw/edit?usp=sharing"",""เพชรบุรี!J28"")"),0)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IFERROR(__xludf.DUMMYFUNCTION("IMPORTRANGE(""https://docs.google.com/spreadsheets/d/1SX6NBoVAgQJ6U1MVXOaj8PK2l7WJ3RER9xtqwdhxkhw/edit?usp=sharing"",""เพชรบุรี!J29"")"),0)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IFERROR(__xludf.DUMMYFUNCTION("IMPORTRANGE(""https://docs.google.com/spreadsheets/d/1SX6NBoVAgQJ6U1MVXOaj8PK2l7WJ3RER9xtqwdhxkhw/edit?usp=sharing"",""เพชรบุรี!J30"")"),0)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IFERROR(__xludf.DUMMYFUNCTION("IMPORTRANGE(""https://docs.google.com/spreadsheets/d/1SX6NBoVAgQJ6U1MVXOaj8PK2l7WJ3RER9xtqwdhxkhw/edit?usp=sharing"",""เพชรบุรี!I32"")"),0)</f>
        <v>0</v>
      </c>
      <c r="J92" s="142">
        <f ca="1">IFERROR(__xludf.DUMMYFUNCTION("IMPORTRANGE(""https://docs.google.com/spreadsheets/d/1SX6NBoVAgQJ6U1MVXOaj8PK2l7WJ3RER9xtqwdhxkhw/edit?usp=sharing"",""เพชรบุรี!J32"")"),0)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IFERROR(__xludf.DUMMYFUNCTION("IMPORTRANGE(""https://docs.google.com/spreadsheets/d/1SX6NBoVAgQJ6U1MVXOaj8PK2l7WJ3RER9xtqwdhxkhw/edit?usp=sharing"",""เพชรบุรี!I33"")"),0)</f>
        <v>0</v>
      </c>
      <c r="J93" s="142">
        <f ca="1">IFERROR(__xludf.DUMMYFUNCTION("IMPORTRANGE(""https://docs.google.com/spreadsheets/d/1SX6NBoVAgQJ6U1MVXOaj8PK2l7WJ3RER9xtqwdhxkhw/edit?usp=sharing"",""เพชรบุรี!J33"")"),0)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IFERROR(__xludf.DUMMYFUNCTION("IMPORTRANGE(""https://docs.google.com/spreadsheets/d/1Yj_ptqi66GCucihVvJfMjLAmec39IyEx_6qawtMGysU/edit?usp=sharing"",""สบก!AR71"")"),0)</f>
        <v>0</v>
      </c>
      <c r="N98" s="169">
        <f ca="1">IFERROR(__xludf.DUMMYFUNCTION("IMPORTRANGE(""https://docs.google.com/spreadsheets/d/1Yj_ptqi66GCucihVvJfMjLAmec39IyEx_6qawtMGysU/edit?usp=sharing"",""สบก!AS71"")"),0)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IFERROR(__xludf.DUMMYFUNCTION("IMPORTRANGE(""https://docs.google.com/spreadsheets/d/1Yj_ptqi66GCucihVvJfMjLAmec39IyEx_6qawtMGysU/edit?usp=sharing"",""สบก!AN71"")"),0)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IFERROR(__xludf.DUMMYFUNCTION("IMPORTRANGE(""https://docs.google.com/spreadsheets/d/1Yj_ptqi66GCucihVvJfMjLAmec39IyEx_6qawtMGysU/edit?usp=sharing"",""สบก!AO71"")"),0)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IFERROR(__xludf.DUMMYFUNCTION("IMPORTRANGE(""https://docs.google.com/spreadsheets/d/1Yj_ptqi66GCucihVvJfMjLAmec39IyEx_6qawtMGysU/edit?usp=sharing"",""สบก!AP71"")"),0)</f>
        <v>0</v>
      </c>
      <c r="M102" s="49"/>
      <c r="N102" s="49">
        <f ca="1">IFERROR(__xludf.DUMMYFUNCTION("IMPORTRANGE(""https://docs.google.com/spreadsheets/d/1Yj_ptqi66GCucihVvJfMjLAmec39IyEx_6qawtMGysU/edit?usp=sharing"",""สบก!AT71"")"),0)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IFERROR(__xludf.DUMMYFUNCTION("IMPORTRANGE(""https://docs.google.com/spreadsheets/d/1SX6NBoVAgQJ6U1MVXOaj8PK2l7WJ3RER9xtqwdhxkhw/edit?usp=sharing"",""เพชรบุรี!J39"")"),0)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IFERROR(__xludf.DUMMYFUNCTION("IMPORTRANGE(""https://docs.google.com/spreadsheets/d/1SX6NBoVAgQJ6U1MVXOaj8PK2l7WJ3RER9xtqwdhxkhw/edit?usp=sharing"",""เพชรบุรี!J40"")"),0)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IFERROR(__xludf.DUMMYFUNCTION("IMPORTRANGE(""https://docs.google.com/spreadsheets/d/1SX6NBoVAgQJ6U1MVXOaj8PK2l7WJ3RER9xtqwdhxkhw/edit?usp=sharing"",""เพชรบุรี!J41"")"),0)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IFERROR(__xludf.DUMMYFUNCTION("IMPORTRANGE(""https://docs.google.com/spreadsheets/d/1SX6NBoVAgQJ6U1MVXOaj8PK2l7WJ3RER9xtqwdhxkhw/edit?usp=sharing"",""เพชรบุรี!J42"")"),0)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IFERROR(__xludf.DUMMYFUNCTION("IMPORTRANGE(""https://docs.google.com/spreadsheets/d/1SX6NBoVAgQJ6U1MVXOaj8PK2l7WJ3RER9xtqwdhxkhw/edit?usp=sharing"",""เพชรบุรี!I43"")"),0)</f>
        <v>0</v>
      </c>
      <c r="J108" s="204">
        <f ca="1">IFERROR(__xludf.DUMMYFUNCTION("IMPORTRANGE(""https://docs.google.com/spreadsheets/d/1SX6NBoVAgQJ6U1MVXOaj8PK2l7WJ3RER9xtqwdhxkhw/edit?usp=sharing"",""เพชรบุรี!J43"")"),0)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IFERROR(__xludf.DUMMYFUNCTION("IMPORTRANGE(""https://docs.google.com/spreadsheets/d/1SX6NBoVAgQJ6U1MVXOaj8PK2l7WJ3RER9xtqwdhxkhw/edit?usp=sharing"",""เพชรบุรี!I44"")"),0)</f>
        <v>0</v>
      </c>
      <c r="J109" s="204">
        <f ca="1">IFERROR(__xludf.DUMMYFUNCTION("IMPORTRANGE(""https://docs.google.com/spreadsheets/d/1SX6NBoVAgQJ6U1MVXOaj8PK2l7WJ3RER9xtqwdhxkhw/edit?usp=sharing"",""เพชรบุรี!J44"")"),0)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IFERROR(__xludf.DUMMYFUNCTION("IMPORTRANGE(""https://docs.google.com/spreadsheets/d/1SX6NBoVAgQJ6U1MVXOaj8PK2l7WJ3RER9xtqwdhxkhw/edit?usp=sharing"",""เพชรบุรี!I45"")"),0)</f>
        <v>0</v>
      </c>
      <c r="J110" s="204">
        <f ca="1">IFERROR(__xludf.DUMMYFUNCTION("IMPORTRANGE(""https://docs.google.com/spreadsheets/d/1SX6NBoVAgQJ6U1MVXOaj8PK2l7WJ3RER9xtqwdhxkhw/edit?usp=sharing"",""เพชรบุรี!J45"")"),0)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IFERROR(__xludf.DUMMYFUNCTION("IMPORTRANGE(""https://docs.google.com/spreadsheets/d/1SX6NBoVAgQJ6U1MVXOaj8PK2l7WJ3RER9xtqwdhxkhw/edit?usp=sharing"",""เพชรบุรี!I46"")"),0)</f>
        <v>0</v>
      </c>
      <c r="J111" s="204">
        <f ca="1">IFERROR(__xludf.DUMMYFUNCTION("IMPORTRANGE(""https://docs.google.com/spreadsheets/d/1SX6NBoVAgQJ6U1MVXOaj8PK2l7WJ3RER9xtqwdhxkhw/edit?usp=sharing"",""เพชรบุรี!J46"")"),0)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IFERROR(__xludf.DUMMYFUNCTION("IMPORTRANGE(""https://docs.google.com/spreadsheets/d/1SX6NBoVAgQJ6U1MVXOaj8PK2l7WJ3RER9xtqwdhxkhw/edit?usp=sharing"",""เพชรบุรี!I47"")"),0)</f>
        <v>0</v>
      </c>
      <c r="J112" s="204">
        <f ca="1">IFERROR(__xludf.DUMMYFUNCTION("IMPORTRANGE(""https://docs.google.com/spreadsheets/d/1SX6NBoVAgQJ6U1MVXOaj8PK2l7WJ3RER9xtqwdhxkhw/edit?usp=sharing"",""เพชรบุรี!J47"")"),0)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IFERROR(__xludf.DUMMYFUNCTION("IMPORTRANGE(""https://docs.google.com/spreadsheets/d/1SX6NBoVAgQJ6U1MVXOaj8PK2l7WJ3RER9xtqwdhxkhw/edit?usp=sharing"",""เพชรบุรี!I48"")"),0)</f>
        <v>0</v>
      </c>
      <c r="J113" s="204">
        <f ca="1">IFERROR(__xludf.DUMMYFUNCTION("IMPORTRANGE(""https://docs.google.com/spreadsheets/d/1SX6NBoVAgQJ6U1MVXOaj8PK2l7WJ3RER9xtqwdhxkhw/edit?usp=sharing"",""เพชรบุรี!J48"")"),0)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IFERROR(__xludf.DUMMYFUNCTION("IMPORTRANGE(""https://docs.google.com/spreadsheets/d/1SX6NBoVAgQJ6U1MVXOaj8PK2l7WJ3RER9xtqwdhxkhw/edit?usp=sharing"",""เพชรบุรี!J49"")"),0)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IFERROR(__xludf.DUMMYFUNCTION("IMPORTRANGE(""https://docs.google.com/spreadsheets/d/1SX6NBoVAgQJ6U1MVXOaj8PK2l7WJ3RER9xtqwdhxkhw/edit?usp=sharing"",""เพชรบุรี!J50"")"),0)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IFERROR(__xludf.DUMMYFUNCTION("IMPORTRANGE(""https://docs.google.com/spreadsheets/d/1SX6NBoVAgQJ6U1MVXOaj8PK2l7WJ3RER9xtqwdhxkhw/edit?usp=sharing"",""เพชรบุรี!I52"")"),0)</f>
        <v>0</v>
      </c>
      <c r="J117" s="142">
        <f ca="1">IFERROR(__xludf.DUMMYFUNCTION("IMPORTRANGE(""https://docs.google.com/spreadsheets/d/1SX6NBoVAgQJ6U1MVXOaj8PK2l7WJ3RER9xtqwdhxkhw/edit?usp=sharing"",""เพชรบุรี!J52"")"),0)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IFERROR(__xludf.DUMMYFUNCTION("IMPORTRANGE(""https://docs.google.com/spreadsheets/d/1Yj_ptqi66GCucihVvJfMjLAmec39IyEx_6qawtMGysU/edit?usp=sharing"",""สบก!BA71"")"),0)</f>
        <v>0</v>
      </c>
      <c r="N122" s="169">
        <f ca="1">IFERROR(__xludf.DUMMYFUNCTION("IMPORTRANGE(""https://docs.google.com/spreadsheets/d/1Yj_ptqi66GCucihVvJfMjLAmec39IyEx_6qawtMGysU/edit?usp=sharing"",""สบก!BB71"")"),0)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IFERROR(__xludf.DUMMYFUNCTION("IMPORTRANGE(""https://docs.google.com/spreadsheets/d/1Yj_ptqi66GCucihVvJfMjLAmec39IyEx_6qawtMGysU/edit?usp=sharing"",""สบก!AW71"")"),0)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IFERROR(__xludf.DUMMYFUNCTION("IMPORTRANGE(""https://docs.google.com/spreadsheets/d/1Yj_ptqi66GCucihVvJfMjLAmec39IyEx_6qawtMGysU/edit?usp=sharing"",""สบก!AX71"")"),0)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IFERROR(__xludf.DUMMYFUNCTION("IMPORTRANGE(""https://docs.google.com/spreadsheets/d/1Yj_ptqi66GCucihVvJfMjLAmec39IyEx_6qawtMGysU/edit?usp=sharing"",""สบก!AY71"")"),0)</f>
        <v>0</v>
      </c>
      <c r="M126" s="49"/>
      <c r="N126" s="49">
        <f ca="1">IFERROR(__xludf.DUMMYFUNCTION("IMPORTRANGE(""https://docs.google.com/spreadsheets/d/1Yj_ptqi66GCucihVvJfMjLAmec39IyEx_6qawtMGysU/edit?usp=sharing"",""สบก!BC71"")"),0)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263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IFERROR(__xludf.DUMMYFUNCTION("IMPORTRANGE(""https://docs.google.com/spreadsheets/d/1SX6NBoVAgQJ6U1MVXOaj8PK2l7WJ3RER9xtqwdhxkhw/edit?usp=sharing"",""เพชรบุรี!J58"")"),0)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IFERROR(__xludf.DUMMYFUNCTION("IMPORTRANGE(""https://docs.google.com/spreadsheets/d/1SX6NBoVAgQJ6U1MVXOaj8PK2l7WJ3RER9xtqwdhxkhw/edit?usp=sharing"",""เพชรบุรี!J59"")"),0)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IFERROR(__xludf.DUMMYFUNCTION("IMPORTRANGE(""https://docs.google.com/spreadsheets/d/1SX6NBoVAgQJ6U1MVXOaj8PK2l7WJ3RER9xtqwdhxkhw/edit?usp=sharing"",""เพชรบุรี!J60"")"),0)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IFERROR(__xludf.DUMMYFUNCTION("IMPORTRANGE(""https://docs.google.com/spreadsheets/d/1SX6NBoVAgQJ6U1MVXOaj8PK2l7WJ3RER9xtqwdhxkhw/edit?usp=sharing"",""เพชรบุรี!J61"")"),0)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IFERROR(__xludf.DUMMYFUNCTION("IMPORTRANGE(""https://docs.google.com/spreadsheets/d/1SX6NBoVAgQJ6U1MVXOaj8PK2l7WJ3RER9xtqwdhxkhw/edit?usp=sharing"",""เพชรบุรี!I62"")"),0)</f>
        <v>0</v>
      </c>
      <c r="J132" s="204">
        <f ca="1">IFERROR(__xludf.DUMMYFUNCTION("IMPORTRANGE(""https://docs.google.com/spreadsheets/d/1SX6NBoVAgQJ6U1MVXOaj8PK2l7WJ3RER9xtqwdhxkhw/edit?usp=sharing"",""เพชรบุรี!J62"")"),0)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IFERROR(__xludf.DUMMYFUNCTION("IMPORTRANGE(""https://docs.google.com/spreadsheets/d/1SX6NBoVAgQJ6U1MVXOaj8PK2l7WJ3RER9xtqwdhxkhw/edit?usp=sharing"",""เพชรบุรี!I63"")"),0)</f>
        <v>0</v>
      </c>
      <c r="J133" s="204">
        <f ca="1">IFERROR(__xludf.DUMMYFUNCTION("IMPORTRANGE(""https://docs.google.com/spreadsheets/d/1SX6NBoVAgQJ6U1MVXOaj8PK2l7WJ3RER9xtqwdhxkhw/edit?usp=sharing"",""เพชรบุรี!J63"")"),0)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IFERROR(__xludf.DUMMYFUNCTION("IMPORTRANGE(""https://docs.google.com/spreadsheets/d/1SX6NBoVAgQJ6U1MVXOaj8PK2l7WJ3RER9xtqwdhxkhw/edit?usp=sharing"",""เพชรบุรี!J64"")"),0)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IFERROR(__xludf.DUMMYFUNCTION("IMPORTRANGE(""https://docs.google.com/spreadsheets/d/1SX6NBoVAgQJ6U1MVXOaj8PK2l7WJ3RER9xtqwdhxkhw/edit?usp=sharing"",""เพชรบุรี!J65"")"),0)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IFERROR(__xludf.DUMMYFUNCTION("IMPORTRANGE(""https://docs.google.com/spreadsheets/d/1SX6NBoVAgQJ6U1MVXOaj8PK2l7WJ3RER9xtqwdhxkhw/edit?usp=sharing"",""เพชรบุรี!I68"")"),0)</f>
        <v>0</v>
      </c>
      <c r="J138" s="267">
        <f ca="1">IFERROR(__xludf.DUMMYFUNCTION("IMPORTRANGE(""https://docs.google.com/spreadsheets/d/1SX6NBoVAgQJ6U1MVXOaj8PK2l7WJ3RER9xtqwdhxkhw/edit?usp=sharing"",""เพชรบุรี!J68"")"),0)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50000</v>
      </c>
      <c r="M140" s="152">
        <f t="shared" ca="1" si="64"/>
        <v>41625</v>
      </c>
      <c r="N140" s="152">
        <f t="shared" ca="1" si="64"/>
        <v>35235</v>
      </c>
      <c r="O140" s="151">
        <f t="shared" ref="O140:O142" ca="1" si="65">IF(L140&gt;0,N140*100/L140,0)</f>
        <v>70.47</v>
      </c>
      <c r="P140" s="151">
        <f t="shared" ref="P140:P142" ca="1" si="66">IF(M140&gt;0,N140*100/M140,0)</f>
        <v>84.648648648648646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50000</v>
      </c>
      <c r="M142" s="157">
        <f t="shared" ca="1" si="68"/>
        <v>41625</v>
      </c>
      <c r="N142" s="157">
        <f t="shared" ca="1" si="68"/>
        <v>35235</v>
      </c>
      <c r="O142" s="156">
        <f t="shared" ca="1" si="65"/>
        <v>70.47</v>
      </c>
      <c r="P142" s="156">
        <f t="shared" ca="1" si="66"/>
        <v>84.648648648648646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50000</v>
      </c>
      <c r="M144" s="168">
        <f ca="1">IFERROR(__xludf.DUMMYFUNCTION("IMPORTRANGE(""https://docs.google.com/spreadsheets/d/1Yj_ptqi66GCucihVvJfMjLAmec39IyEx_6qawtMGysU/edit?usp=sharing"",""สบก!BJ71"")"),41625)</f>
        <v>41625</v>
      </c>
      <c r="N144" s="169">
        <f ca="1">IFERROR(__xludf.DUMMYFUNCTION("IMPORTRANGE(""https://docs.google.com/spreadsheets/d/1Yj_ptqi66GCucihVvJfMjLAmec39IyEx_6qawtMGysU/edit?usp=sharing"",""สบก!BK71"")"),35235)</f>
        <v>35235</v>
      </c>
      <c r="O144" s="169">
        <f ca="1">IF(L144&gt;0,N144*100/L144,0)</f>
        <v>70.47</v>
      </c>
      <c r="P144" s="169">
        <f ca="1">IF(M144&gt;0,N144*100/M144,0)</f>
        <v>84.648648648648646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IFERROR(__xludf.DUMMYFUNCTION("IMPORTRANGE(""https://docs.google.com/spreadsheets/d/1Yj_ptqi66GCucihVvJfMjLAmec39IyEx_6qawtMGysU/edit?usp=sharing"",""สบก!BF71"")"),0)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IFERROR(__xludf.DUMMYFUNCTION("IMPORTRANGE(""https://docs.google.com/spreadsheets/d/1Yj_ptqi66GCucihVvJfMjLAmec39IyEx_6qawtMGysU/edit?usp=sharing"",""สบก!BG71"")"),50000)</f>
        <v>50000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IFERROR(__xludf.DUMMYFUNCTION("IMPORTRANGE(""https://docs.google.com/spreadsheets/d/1Yj_ptqi66GCucihVvJfMjLAmec39IyEx_6qawtMGysU/edit?usp=sharing"",""สบก!BH71"")"),0)</f>
        <v>0</v>
      </c>
      <c r="M148" s="49"/>
      <c r="N148" s="49">
        <f ca="1">IFERROR(__xludf.DUMMYFUNCTION("IMPORTRANGE(""https://docs.google.com/spreadsheets/d/1Yj_ptqi66GCucihVvJfMjLAmec39IyEx_6qawtMGysU/edit?usp=sharing"",""สบก!BL71"")"),0)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IFERROR(__xludf.DUMMYFUNCTION("IMPORTRANGE(""https://docs.google.com/spreadsheets/d/1SX6NBoVAgQJ6U1MVXOaj8PK2l7WJ3RER9xtqwdhxkhw/edit?usp=sharing"",""เพชรบุรี!I74"")"),4)</f>
        <v>4</v>
      </c>
      <c r="J149" s="275">
        <f ca="1">IFERROR(__xludf.DUMMYFUNCTION("IMPORTRANGE(""https://docs.google.com/spreadsheets/d/1SX6NBoVAgQJ6U1MVXOaj8PK2l7WJ3RER9xtqwdhxkhw/edit?usp=sharing"",""เพชรบุรี!J74"")"),2)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IFERROR(__xludf.DUMMYFUNCTION("IMPORTRANGE(""https://docs.google.com/spreadsheets/d/1SX6NBoVAgQJ6U1MVXOaj8PK2l7WJ3RER9xtqwdhxkhw/edit?usp=sharing"",""เพชรบุรี!J79"")"),0)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IFERROR(__xludf.DUMMYFUNCTION("IMPORTRANGE(""https://docs.google.com/spreadsheets/d/1SX6NBoVAgQJ6U1MVXOaj8PK2l7WJ3RER9xtqwdhxkhw/edit?usp=sharing"",""เพชรบุรี!J80"")"),1)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IFERROR(__xludf.DUMMYFUNCTION("IMPORTRANGE(""https://docs.google.com/spreadsheets/d/1SX6NBoVAgQJ6U1MVXOaj8PK2l7WJ3RER9xtqwdhxkhw/edit?usp=sharing"",""เพชรบุรี!J81"")"),1)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IFERROR(__xludf.DUMMYFUNCTION("IMPORTRANGE(""https://docs.google.com/spreadsheets/d/1SX6NBoVAgQJ6U1MVXOaj8PK2l7WJ3RER9xtqwdhxkhw/edit?usp=sharing"",""เพชรบุรี!J82"")"),1)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IFERROR(__xludf.DUMMYFUNCTION("IMPORTRANGE(""https://docs.google.com/spreadsheets/d/1SX6NBoVAgQJ6U1MVXOaj8PK2l7WJ3RER9xtqwdhxkhw/edit?usp=sharing"",""เพชรบุรี!I83"")"),4)</f>
        <v>4</v>
      </c>
      <c r="J158" s="189">
        <f ca="1">IFERROR(__xludf.DUMMYFUNCTION("IMPORTRANGE(""https://docs.google.com/spreadsheets/d/1SX6NBoVAgQJ6U1MVXOaj8PK2l7WJ3RER9xtqwdhxkhw/edit?usp=sharing"",""เพชรบุรี!J83"")"),2)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IFERROR(__xludf.DUMMYFUNCTION("IMPORTRANGE(""https://docs.google.com/spreadsheets/d/1SX6NBoVAgQJ6U1MVXOaj8PK2l7WJ3RER9xtqwdhxkhw/edit?usp=sharing"",""เพชรบุรี!J84"")"),77)</f>
        <v>77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IFERROR(__xludf.DUMMYFUNCTION("IMPORTRANGE(""https://docs.google.com/spreadsheets/d/1SX6NBoVAgQJ6U1MVXOaj8PK2l7WJ3RER9xtqwdhxkhw/edit?usp=sharing"",""เพชรบุรี!J85"")"),77)</f>
        <v>77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IFERROR(__xludf.DUMMYFUNCTION("IMPORTRANGE(""https://docs.google.com/spreadsheets/d/1SX6NBoVAgQJ6U1MVXOaj8PK2l7WJ3RER9xtqwdhxkhw/edit?usp=sharing"",""เพชรบุรี!J86"")"),0)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IFERROR(__xludf.DUMMYFUNCTION("IMPORTRANGE(""https://docs.google.com/spreadsheets/d/1SX6NBoVAgQJ6U1MVXOaj8PK2l7WJ3RER9xtqwdhxkhw/edit?usp=sharing"",""เพชรบุรี!J87"")"),0)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IFERROR(__xludf.DUMMYFUNCTION("IMPORTRANGE(""https://docs.google.com/spreadsheets/d/1SX6NBoVAgQJ6U1MVXOaj8PK2l7WJ3RER9xtqwdhxkhw/edit?usp=sharing"",""เพชรบุรี!J88"")"),0)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IFERROR(__xludf.DUMMYFUNCTION("IMPORTRANGE(""https://docs.google.com/spreadsheets/d/1SX6NBoVAgQJ6U1MVXOaj8PK2l7WJ3RER9xtqwdhxkhw/edit?usp=sharing"",""เพชรบุรี!I89"")"),2)</f>
        <v>2</v>
      </c>
      <c r="J164" s="284">
        <f ca="1">IFERROR(__xludf.DUMMYFUNCTION("IMPORTRANGE(""https://docs.google.com/spreadsheets/d/1SX6NBoVAgQJ6U1MVXOaj8PK2l7WJ3RER9xtqwdhxkhw/edit?usp=sharing"",""เพชรบุรี!J89"")"),2)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IFERROR(__xludf.DUMMYFUNCTION("IMPORTRANGE(""https://docs.google.com/spreadsheets/d/1SX6NBoVAgQJ6U1MVXOaj8PK2l7WJ3RER9xtqwdhxkhw/edit?usp=sharing"",""เพชรบุรี!J94"")"),0)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IFERROR(__xludf.DUMMYFUNCTION("IMPORTRANGE(""https://docs.google.com/spreadsheets/d/1SX6NBoVAgQJ6U1MVXOaj8PK2l7WJ3RER9xtqwdhxkhw/edit?usp=sharing"",""เพชรบุรี!J95"")"),1)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IFERROR(__xludf.DUMMYFUNCTION("IMPORTRANGE(""https://docs.google.com/spreadsheets/d/1SX6NBoVAgQJ6U1MVXOaj8PK2l7WJ3RER9xtqwdhxkhw/edit?usp=sharing"",""เพชรบุรี!J96"")"),1)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IFERROR(__xludf.DUMMYFUNCTION("IMPORTRANGE(""https://docs.google.com/spreadsheets/d/1SX6NBoVAgQJ6U1MVXOaj8PK2l7WJ3RER9xtqwdhxkhw/edit?usp=sharing"",""เพชรบุรี!J97"")"),1)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IFERROR(__xludf.DUMMYFUNCTION("IMPORTRANGE(""https://docs.google.com/spreadsheets/d/1SX6NBoVAgQJ6U1MVXOaj8PK2l7WJ3RER9xtqwdhxkhw/edit?usp=sharing"",""เพชรบุรี!I98"")"),2)</f>
        <v>2</v>
      </c>
      <c r="J173" s="189">
        <f ca="1">IFERROR(__xludf.DUMMYFUNCTION("IMPORTRANGE(""https://docs.google.com/spreadsheets/d/1SX6NBoVAgQJ6U1MVXOaj8PK2l7WJ3RER9xtqwdhxkhw/edit?usp=sharing"",""เพชรบุรี!J98"")"),2)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IFERROR(__xludf.DUMMYFUNCTION("IMPORTRANGE(""https://docs.google.com/spreadsheets/d/1SX6NBoVAgQJ6U1MVXOaj8PK2l7WJ3RER9xtqwdhxkhw/edit?usp=sharing"",""เพชรบุรี!J99"")"),0)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IFERROR(__xludf.DUMMYFUNCTION("IMPORTRANGE(""https://docs.google.com/spreadsheets/d/1SX6NBoVAgQJ6U1MVXOaj8PK2l7WJ3RER9xtqwdhxkhw/edit?usp=sharing"",""เพชรบุรี!J100"")"),0)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IFERROR(__xludf.DUMMYFUNCTION("IMPORTRANGE(""https://docs.google.com/spreadsheets/d/1SX6NBoVAgQJ6U1MVXOaj8PK2l7WJ3RER9xtqwdhxkhw/edit?usp=sharing"",""เพชรบุรี!I101"")"),0)</f>
        <v>0</v>
      </c>
      <c r="J176" s="284">
        <f ca="1">IFERROR(__xludf.DUMMYFUNCTION("IMPORTRANGE(""https://docs.google.com/spreadsheets/d/1SX6NBoVAgQJ6U1MVXOaj8PK2l7WJ3RER9xtqwdhxkhw/edit?usp=sharing"",""เพชรบุรี!J101"")"),0)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IFERROR(__xludf.DUMMYFUNCTION("IMPORTRANGE(""https://docs.google.com/spreadsheets/d/1SX6NBoVAgQJ6U1MVXOaj8PK2l7WJ3RER9xtqwdhxkhw/edit?usp=sharing"",""เพชรบุรี!J106"")"),0)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IFERROR(__xludf.DUMMYFUNCTION("IMPORTRANGE(""https://docs.google.com/spreadsheets/d/1SX6NBoVAgQJ6U1MVXOaj8PK2l7WJ3RER9xtqwdhxkhw/edit?usp=sharing"",""เพชรบุรี!J107"")"),0)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IFERROR(__xludf.DUMMYFUNCTION("IMPORTRANGE(""https://docs.google.com/spreadsheets/d/1SX6NBoVAgQJ6U1MVXOaj8PK2l7WJ3RER9xtqwdhxkhw/edit?usp=sharing"",""เพชรบุรี!J108"")"),0)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IFERROR(__xludf.DUMMYFUNCTION("IMPORTRANGE(""https://docs.google.com/spreadsheets/d/1SX6NBoVAgQJ6U1MVXOaj8PK2l7WJ3RER9xtqwdhxkhw/edit?usp=sharing"",""เพชรบุรี!J109"")"),0)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IFERROR(__xludf.DUMMYFUNCTION("IMPORTRANGE(""https://docs.google.com/spreadsheets/d/1SX6NBoVAgQJ6U1MVXOaj8PK2l7WJ3RER9xtqwdhxkhw/edit?usp=sharing"",""เพชรบุรี!I110"")"),0)</f>
        <v>0</v>
      </c>
      <c r="J185" s="204">
        <f ca="1">IFERROR(__xludf.DUMMYFUNCTION("IMPORTRANGE(""https://docs.google.com/spreadsheets/d/1SX6NBoVAgQJ6U1MVXOaj8PK2l7WJ3RER9xtqwdhxkhw/edit?usp=sharing"",""เพชรบุรี!J110"")"),0)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IFERROR(__xludf.DUMMYFUNCTION("IMPORTRANGE(""https://docs.google.com/spreadsheets/d/1SX6NBoVAgQJ6U1MVXOaj8PK2l7WJ3RER9xtqwdhxkhw/edit?usp=sharing"",""เพชรบุรี!I111"")"),0)</f>
        <v>0</v>
      </c>
      <c r="J186" s="204">
        <f ca="1">IFERROR(__xludf.DUMMYFUNCTION("IMPORTRANGE(""https://docs.google.com/spreadsheets/d/1SX6NBoVAgQJ6U1MVXOaj8PK2l7WJ3RER9xtqwdhxkhw/edit?usp=sharing"",""เพชรบุรี!J111"")"),0)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IFERROR(__xludf.DUMMYFUNCTION("IMPORTRANGE(""https://docs.google.com/spreadsheets/d/1SX6NBoVAgQJ6U1MVXOaj8PK2l7WJ3RER9xtqwdhxkhw/edit?usp=sharing"",""เพชรบุรี!J112"")"),0)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IFERROR(__xludf.DUMMYFUNCTION("IMPORTRANGE(""https://docs.google.com/spreadsheets/d/1SX6NBoVAgQJ6U1MVXOaj8PK2l7WJ3RER9xtqwdhxkhw/edit?usp=sharing"",""เพชรบุรี!J113"")"),0)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IFERROR(__xludf.DUMMYFUNCTION("IMPORTRANGE(""https://docs.google.com/spreadsheets/d/1SX6NBoVAgQJ6U1MVXOaj8PK2l7WJ3RER9xtqwdhxkhw/edit?usp=sharing"",""เพชรบุรี!I114"")"),30000)</f>
        <v>30000</v>
      </c>
      <c r="J189" s="284">
        <f ca="1">IFERROR(__xludf.DUMMYFUNCTION("IMPORTRANGE(""https://docs.google.com/spreadsheets/d/1SX6NBoVAgQJ6U1MVXOaj8PK2l7WJ3RER9xtqwdhxkhw/edit?usp=sharing"",""เพชรบุรี!J114"")"),0)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IFERROR(__xludf.DUMMYFUNCTION("IMPORTRANGE(""https://docs.google.com/spreadsheets/d/1SX6NBoVAgQJ6U1MVXOaj8PK2l7WJ3RER9xtqwdhxkhw/edit?usp=sharing"",""เพชรบุรี!J119"")"),0)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IFERROR(__xludf.DUMMYFUNCTION("IMPORTRANGE(""https://docs.google.com/spreadsheets/d/1SX6NBoVAgQJ6U1MVXOaj8PK2l7WJ3RER9xtqwdhxkhw/edit?usp=sharing"",""เพชรบุรี!J120"")"),1)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IFERROR(__xludf.DUMMYFUNCTION("IMPORTRANGE(""https://docs.google.com/spreadsheets/d/1SX6NBoVAgQJ6U1MVXOaj8PK2l7WJ3RER9xtqwdhxkhw/edit?usp=sharing"",""เพชรบุรี!J121"")"),0)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IFERROR(__xludf.DUMMYFUNCTION("IMPORTRANGE(""https://docs.google.com/spreadsheets/d/1SX6NBoVAgQJ6U1MVXOaj8PK2l7WJ3RER9xtqwdhxkhw/edit?usp=sharing"",""เพชรบุรี!J122"")"),0)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IFERROR(__xludf.DUMMYFUNCTION("IMPORTRANGE(""https://docs.google.com/spreadsheets/d/1SX6NBoVAgQJ6U1MVXOaj8PK2l7WJ3RER9xtqwdhxkhw/edit?usp=sharing"",""เพชรบุรี!I124"")"),30000)</f>
        <v>30000</v>
      </c>
      <c r="J199" s="189">
        <f ca="1">IFERROR(__xludf.DUMMYFUNCTION("IMPORTRANGE(""https://docs.google.com/spreadsheets/d/1SX6NBoVAgQJ6U1MVXOaj8PK2l7WJ3RER9xtqwdhxkhw/edit?usp=sharing"",""เพชรบุรี!J124"")"),0)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IFERROR(__xludf.DUMMYFUNCTION("IMPORTRANGE(""https://docs.google.com/spreadsheets/d/1SX6NBoVAgQJ6U1MVXOaj8PK2l7WJ3RER9xtqwdhxkhw/edit?usp=sharing"",""เพชรบุรี!I125"")"),30000)</f>
        <v>30000</v>
      </c>
      <c r="J200" s="189">
        <f ca="1">IFERROR(__xludf.DUMMYFUNCTION("IMPORTRANGE(""https://docs.google.com/spreadsheets/d/1SX6NBoVAgQJ6U1MVXOaj8PK2l7WJ3RER9xtqwdhxkhw/edit?usp=sharing"",""เพชรบุรี!J125"")"),0)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IFERROR(__xludf.DUMMYFUNCTION("IMPORTRANGE(""https://docs.google.com/spreadsheets/d/1SX6NBoVAgQJ6U1MVXOaj8PK2l7WJ3RER9xtqwdhxkhw/edit?usp=sharing"",""เพชรบุรี!I126"")"),0)</f>
        <v>0</v>
      </c>
      <c r="J201" s="189">
        <f ca="1">IFERROR(__xludf.DUMMYFUNCTION("IMPORTRANGE(""https://docs.google.com/spreadsheets/d/1SX6NBoVAgQJ6U1MVXOaj8PK2l7WJ3RER9xtqwdhxkhw/edit?usp=sharing"",""เพชรบุรี!J126"")"),0)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IFERROR(__xludf.DUMMYFUNCTION("IMPORTRANGE(""https://docs.google.com/spreadsheets/d/1SX6NBoVAgQJ6U1MVXOaj8PK2l7WJ3RER9xtqwdhxkhw/edit?usp=sharing"",""เพชรบุรี!J127"")"),0)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IFERROR(__xludf.DUMMYFUNCTION("IMPORTRANGE(""https://docs.google.com/spreadsheets/d/1SX6NBoVAgQJ6U1MVXOaj8PK2l7WJ3RER9xtqwdhxkhw/edit?usp=sharing"",""เพชรบุรี!J128"")"),0)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IFERROR(__xludf.DUMMYFUNCTION("IMPORTRANGE(""https://docs.google.com/spreadsheets/d/1SX6NBoVAgQJ6U1MVXOaj8PK2l7WJ3RER9xtqwdhxkhw/edit?usp=sharing"",""เพชรบุรี!I129"")"),0)</f>
        <v>0</v>
      </c>
      <c r="J204" s="284">
        <f ca="1">IFERROR(__xludf.DUMMYFUNCTION("IMPORTRANGE(""https://docs.google.com/spreadsheets/d/1SX6NBoVAgQJ6U1MVXOaj8PK2l7WJ3RER9xtqwdhxkhw/edit?usp=sharing"",""เพชรบุรี!J129"")"),0)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IFERROR(__xludf.DUMMYFUNCTION("IMPORTRANGE(""https://docs.google.com/spreadsheets/d/1SX6NBoVAgQJ6U1MVXOaj8PK2l7WJ3RER9xtqwdhxkhw/edit?usp=sharing"",""เพชรบุรี!J134"")"),0)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IFERROR(__xludf.DUMMYFUNCTION("IMPORTRANGE(""https://docs.google.com/spreadsheets/d/1SX6NBoVAgQJ6U1MVXOaj8PK2l7WJ3RER9xtqwdhxkhw/edit?usp=sharing"",""เพชรบุรี!J135"")"),0)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IFERROR(__xludf.DUMMYFUNCTION("IMPORTRANGE(""https://docs.google.com/spreadsheets/d/1SX6NBoVAgQJ6U1MVXOaj8PK2l7WJ3RER9xtqwdhxkhw/edit?usp=sharing"",""เพชรบุรี!J136"")"),0)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IFERROR(__xludf.DUMMYFUNCTION("IMPORTRANGE(""https://docs.google.com/spreadsheets/d/1SX6NBoVAgQJ6U1MVXOaj8PK2l7WJ3RER9xtqwdhxkhw/edit?usp=sharing"",""เพชรบุรี!J137"")"),0)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IFERROR(__xludf.DUMMYFUNCTION("IMPORTRANGE(""https://docs.google.com/spreadsheets/d/1SX6NBoVAgQJ6U1MVXOaj8PK2l7WJ3RER9xtqwdhxkhw/edit?usp=sharing"",""เพชรบุรี!I138"")"),0)</f>
        <v>0</v>
      </c>
      <c r="J213" s="204">
        <f ca="1">IFERROR(__xludf.DUMMYFUNCTION("IMPORTRANGE(""https://docs.google.com/spreadsheets/d/1SX6NBoVAgQJ6U1MVXOaj8PK2l7WJ3RER9xtqwdhxkhw/edit?usp=sharing"",""เพชรบุรี!J138"")"),0)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IFERROR(__xludf.DUMMYFUNCTION("IMPORTRANGE(""https://docs.google.com/spreadsheets/d/1SX6NBoVAgQJ6U1MVXOaj8PK2l7WJ3RER9xtqwdhxkhw/edit?usp=sharing"",""เพชรบุรี!I140"")"),0)</f>
        <v>0</v>
      </c>
      <c r="J215" s="204">
        <f ca="1">IFERROR(__xludf.DUMMYFUNCTION("IMPORTRANGE(""https://docs.google.com/spreadsheets/d/1SX6NBoVAgQJ6U1MVXOaj8PK2l7WJ3RER9xtqwdhxkhw/edit?usp=sharing"",""เพชรบุรี!J140"")"),0)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IFERROR(__xludf.DUMMYFUNCTION("IMPORTRANGE(""https://docs.google.com/spreadsheets/d/1SX6NBoVAgQJ6U1MVXOaj8PK2l7WJ3RER9xtqwdhxkhw/edit?usp=sharing"",""เพชรบุรี!I141"")"),0)</f>
        <v>0</v>
      </c>
      <c r="J216" s="204">
        <f ca="1">IFERROR(__xludf.DUMMYFUNCTION("IMPORTRANGE(""https://docs.google.com/spreadsheets/d/1SX6NBoVAgQJ6U1MVXOaj8PK2l7WJ3RER9xtqwdhxkhw/edit?usp=sharing"",""เพชรบุรี!J141"")"),0)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IFERROR(__xludf.DUMMYFUNCTION("IMPORTRANGE(""https://docs.google.com/spreadsheets/d/1SX6NBoVAgQJ6U1MVXOaj8PK2l7WJ3RER9xtqwdhxkhw/edit?usp=sharing"",""เพชรบุรี!J142"")"),0)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IFERROR(__xludf.DUMMYFUNCTION("IMPORTRANGE(""https://docs.google.com/spreadsheets/d/1SX6NBoVAgQJ6U1MVXOaj8PK2l7WJ3RER9xtqwdhxkhw/edit?usp=sharing"",""เพชรบุรี!J143"")"),0)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IFERROR(__xludf.DUMMYFUNCTION("IMPORTRANGE(""https://docs.google.com/spreadsheets/d/1SX6NBoVAgQJ6U1MVXOaj8PK2l7WJ3RER9xtqwdhxkhw/edit?usp=sharing"",""เพชรบุรี!I144"")"),15)</f>
        <v>15</v>
      </c>
      <c r="J219" s="267">
        <f ca="1">IFERROR(__xludf.DUMMYFUNCTION("IMPORTRANGE(""https://docs.google.com/spreadsheets/d/1SX6NBoVAgQJ6U1MVXOaj8PK2l7WJ3RER9xtqwdhxkhw/edit?usp=sharing"",""เพชรบุรี!J144"")"),15)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20145</v>
      </c>
      <c r="O220" s="151">
        <f t="shared" ref="O220:O222" ca="1" si="73">IF(L220&gt;0,N220*100/L220,0)</f>
        <v>95.360946745562131</v>
      </c>
      <c r="P220" s="151">
        <f t="shared" ref="P220:P222" ca="1" si="74">IF(M220&gt;0,N220*100/M220,0)</f>
        <v>95.360946745562131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20145</v>
      </c>
      <c r="O222" s="156">
        <f t="shared" ca="1" si="73"/>
        <v>95.360946745562131</v>
      </c>
      <c r="P222" s="156">
        <f t="shared" ca="1" si="74"/>
        <v>95.360946745562131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IFERROR(__xludf.DUMMYFUNCTION("IMPORTRANGE(""https://docs.google.com/spreadsheets/d/1Yj_ptqi66GCucihVvJfMjLAmec39IyEx_6qawtMGysU/edit?usp=sharing"",""สบก!BS71"")"),21125)</f>
        <v>21125</v>
      </c>
      <c r="N224" s="169">
        <f ca="1">IFERROR(__xludf.DUMMYFUNCTION("IMPORTRANGE(""https://docs.google.com/spreadsheets/d/1Yj_ptqi66GCucihVvJfMjLAmec39IyEx_6qawtMGysU/edit?usp=sharing"",""สบก!BT71"")"),20145)</f>
        <v>20145</v>
      </c>
      <c r="O224" s="169">
        <f ca="1">IF(L224&gt;0,N224*100/L224,0)</f>
        <v>95.360946745562131</v>
      </c>
      <c r="P224" s="169">
        <f ca="1">IF(M224&gt;0,N224*100/M224,0)</f>
        <v>95.360946745562131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IFERROR(__xludf.DUMMYFUNCTION("IMPORTRANGE(""https://docs.google.com/spreadsheets/d/1Yj_ptqi66GCucihVvJfMjLAmec39IyEx_6qawtMGysU/edit?usp=sharing"",""สบก!BO71"")"),0)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IFERROR(__xludf.DUMMYFUNCTION("IMPORTRANGE(""https://docs.google.com/spreadsheets/d/1Yj_ptqi66GCucihVvJfMjLAmec39IyEx_6qawtMGysU/edit?usp=sharing"",""สบก!BP71"")"),21125)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IFERROR(__xludf.DUMMYFUNCTION("IMPORTRANGE(""https://docs.google.com/spreadsheets/d/1Yj_ptqi66GCucihVvJfMjLAmec39IyEx_6qawtMGysU/edit?usp=sharing"",""สบก!BQ71"")"),0)</f>
        <v>0</v>
      </c>
      <c r="M228" s="49"/>
      <c r="N228" s="49">
        <f ca="1">IFERROR(__xludf.DUMMYFUNCTION("IMPORTRANGE(""https://docs.google.com/spreadsheets/d/1Yj_ptqi66GCucihVvJfMjLAmec39IyEx_6qawtMGysU/edit?usp=sharing"",""สบก!BU71"")"),0)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IFERROR(__xludf.DUMMYFUNCTION("IMPORTRANGE(""https://docs.google.com/spreadsheets/d/1SX6NBoVAgQJ6U1MVXOaj8PK2l7WJ3RER9xtqwdhxkhw/edit?usp=sharing"",""เพชรบุรี!I149"")"),15)</f>
        <v>15</v>
      </c>
      <c r="J229" s="267">
        <f ca="1">IFERROR(__xludf.DUMMYFUNCTION("IMPORTRANGE(""https://docs.google.com/spreadsheets/d/1SX6NBoVAgQJ6U1MVXOaj8PK2l7WJ3RER9xtqwdhxkhw/edit?usp=sharing"",""เพชรบุรี!J149"")"),15)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IFERROR(__xludf.DUMMYFUNCTION("IMPORTRANGE(""https://docs.google.com/spreadsheets/d/1SX6NBoVAgQJ6U1MVXOaj8PK2l7WJ3RER9xtqwdhxkhw/edit?usp=sharing"",""เพชรบุรี!J151"")"),0)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IFERROR(__xludf.DUMMYFUNCTION("IMPORTRANGE(""https://docs.google.com/spreadsheets/d/1SX6NBoVAgQJ6U1MVXOaj8PK2l7WJ3RER9xtqwdhxkhw/edit?usp=sharing"",""เพชรบุรี!J152"")"),1)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IFERROR(__xludf.DUMMYFUNCTION("IMPORTRANGE(""https://docs.google.com/spreadsheets/d/1SX6NBoVAgQJ6U1MVXOaj8PK2l7WJ3RER9xtqwdhxkhw/edit?usp=sharing"",""เพชรบุรี!J153"")"),1)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IFERROR(__xludf.DUMMYFUNCTION("IMPORTRANGE(""https://docs.google.com/spreadsheets/d/1SX6NBoVAgQJ6U1MVXOaj8PK2l7WJ3RER9xtqwdhxkhw/edit?usp=sharing"",""เพชรบุรี!J154"")"),1)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IFERROR(__xludf.DUMMYFUNCTION("IMPORTRANGE(""https://docs.google.com/spreadsheets/d/1SX6NBoVAgQJ6U1MVXOaj8PK2l7WJ3RER9xtqwdhxkhw/edit?usp=sharing"",""เพชรบุรี!I155"")"),15)</f>
        <v>15</v>
      </c>
      <c r="J235" s="189">
        <f ca="1">IFERROR(__xludf.DUMMYFUNCTION("IMPORTRANGE(""https://docs.google.com/spreadsheets/d/1SX6NBoVAgQJ6U1MVXOaj8PK2l7WJ3RER9xtqwdhxkhw/edit?usp=sharing"",""เพชรบุรี!J155"")"),15)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IFERROR(__xludf.DUMMYFUNCTION("IMPORTRANGE(""https://docs.google.com/spreadsheets/d/1SX6NBoVAgQJ6U1MVXOaj8PK2l7WJ3RER9xtqwdhxkhw/edit?usp=sharing"",""เพชรบุรี!J156"")"),0)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IFERROR(__xludf.DUMMYFUNCTION("IMPORTRANGE(""https://docs.google.com/spreadsheets/d/1SX6NBoVAgQJ6U1MVXOaj8PK2l7WJ3RER9xtqwdhxkhw/edit?usp=sharing"",""เพชรบุรี!J157"")"),0)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IFERROR(__xludf.DUMMYFUNCTION("IMPORTRANGE(""https://docs.google.com/spreadsheets/d/1SX6NBoVAgQJ6U1MVXOaj8PK2l7WJ3RER9xtqwdhxkhw/edit?usp=sharing"",""เพชรบุรี!I158"")"),0)</f>
        <v>0</v>
      </c>
      <c r="J238" s="267">
        <f ca="1">IFERROR(__xludf.DUMMYFUNCTION("IMPORTRANGE(""https://docs.google.com/spreadsheets/d/1SX6NBoVAgQJ6U1MVXOaj8PK2l7WJ3RER9xtqwdhxkhw/edit?usp=sharing"",""เพชรบุรี!J158"")"),0)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IFERROR(__xludf.DUMMYFUNCTION("IMPORTRANGE(""https://docs.google.com/spreadsheets/d/1SX6NBoVAgQJ6U1MVXOaj8PK2l7WJ3RER9xtqwdhxkhw/edit?usp=sharing"",""เพชรบุรี!J159"")"),"")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IFERROR(__xludf.DUMMYFUNCTION("IMPORTRANGE(""https://docs.google.com/spreadsheets/d/1SX6NBoVAgQJ6U1MVXOaj8PK2l7WJ3RER9xtqwdhxkhw/edit?usp=sharing"",""เพชรบุรี!J161"")"),0)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IFERROR(__xludf.DUMMYFUNCTION("IMPORTRANGE(""https://docs.google.com/spreadsheets/d/1SX6NBoVAgQJ6U1MVXOaj8PK2l7WJ3RER9xtqwdhxkhw/edit?usp=sharing"",""เพชรบุรี!J162"")"),0)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IFERROR(__xludf.DUMMYFUNCTION("IMPORTRANGE(""https://docs.google.com/spreadsheets/d/1SX6NBoVAgQJ6U1MVXOaj8PK2l7WJ3RER9xtqwdhxkhw/edit?usp=sharing"",""เพชรบุรี!J163"")"),0)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IFERROR(__xludf.DUMMYFUNCTION("IMPORTRANGE(""https://docs.google.com/spreadsheets/d/1SX6NBoVAgQJ6U1MVXOaj8PK2l7WJ3RER9xtqwdhxkhw/edit?usp=sharing"",""เพชรบุรี!I164"")"),0)</f>
        <v>0</v>
      </c>
      <c r="J244" s="188">
        <f ca="1">IFERROR(__xludf.DUMMYFUNCTION("IMPORTRANGE(""https://docs.google.com/spreadsheets/d/1SX6NBoVAgQJ6U1MVXOaj8PK2l7WJ3RER9xtqwdhxkhw/edit?usp=sharing"",""เพชรบุรี!J164"")"),0)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IFERROR(__xludf.DUMMYFUNCTION("IMPORTRANGE(""https://docs.google.com/spreadsheets/d/1SX6NBoVAgQJ6U1MVXOaj8PK2l7WJ3RER9xtqwdhxkhw/edit?usp=sharing"",""เพชรบุรี!J165"")"),0)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IFERROR(__xludf.DUMMYFUNCTION("IMPORTRANGE(""https://docs.google.com/spreadsheets/d/1SX6NBoVAgQJ6U1MVXOaj8PK2l7WJ3RER9xtqwdhxkhw/edit?usp=sharing"",""เพชรบุรี!J166"")"),0)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IFERROR(__xludf.DUMMYFUNCTION("IMPORTRANGE(""https://docs.google.com/spreadsheets/d/1SX6NBoVAgQJ6U1MVXOaj8PK2l7WJ3RER9xtqwdhxkhw/edit?usp=sharing"",""เพชรบุรี!I169"")"),0)</f>
        <v>0</v>
      </c>
      <c r="J249" s="316">
        <f ca="1">IFERROR(__xludf.DUMMYFUNCTION("IMPORTRANGE(""https://docs.google.com/spreadsheets/d/1SX6NBoVAgQJ6U1MVXOaj8PK2l7WJ3RER9xtqwdhxkhw/edit?usp=sharing"",""เพชรบุรี!J169"")"),0)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IFERROR(__xludf.DUMMYFUNCTION("IMPORTRANGE(""https://docs.google.com/spreadsheets/d/1Yj_ptqi66GCucihVvJfMjLAmec39IyEx_6qawtMGysU/edit?usp=sharing"",""สบก!CB71"")"),0)</f>
        <v>0</v>
      </c>
      <c r="N254" s="169">
        <f ca="1">IFERROR(__xludf.DUMMYFUNCTION("IMPORTRANGE(""https://docs.google.com/spreadsheets/d/1Yj_ptqi66GCucihVvJfMjLAmec39IyEx_6qawtMGysU/edit?usp=sharing"",""สบก!CC71"")"),0)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IFERROR(__xludf.DUMMYFUNCTION("IMPORTRANGE(""https://docs.google.com/spreadsheets/d/1Yj_ptqi66GCucihVvJfMjLAmec39IyEx_6qawtMGysU/edit?usp=sharing"",""สบก!BX71"")"),0)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IFERROR(__xludf.DUMMYFUNCTION("IMPORTRANGE(""https://docs.google.com/spreadsheets/d/1Yj_ptqi66GCucihVvJfMjLAmec39IyEx_6qawtMGysU/edit?usp=sharing"",""สบก!BY71"")"),0)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IFERROR(__xludf.DUMMYFUNCTION("IMPORTRANGE(""https://docs.google.com/spreadsheets/d/1Yj_ptqi66GCucihVvJfMjLAmec39IyEx_6qawtMGysU/edit?usp=sharing"",""สบก!BZ71"")"),0)</f>
        <v>0</v>
      </c>
      <c r="M258" s="49"/>
      <c r="N258" s="49">
        <f ca="1">IFERROR(__xludf.DUMMYFUNCTION("IMPORTRANGE(""https://docs.google.com/spreadsheets/d/1Yj_ptqi66GCucihVvJfMjLAmec39IyEx_6qawtMGysU/edit?usp=sharing"",""สบก!CD71"")"),0)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IFERROR(__xludf.DUMMYFUNCTION("IMPORTRANGE(""https://docs.google.com/spreadsheets/d/1SX6NBoVAgQJ6U1MVXOaj8PK2l7WJ3RER9xtqwdhxkhw/edit?usp=sharing"",""เพชรบุรี!J175"")"),0)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IFERROR(__xludf.DUMMYFUNCTION("IMPORTRANGE(""https://docs.google.com/spreadsheets/d/1SX6NBoVAgQJ6U1MVXOaj8PK2l7WJ3RER9xtqwdhxkhw/edit?usp=sharing"",""เพชรบุรี!J176"")"),0)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IFERROR(__xludf.DUMMYFUNCTION("IMPORTRANGE(""https://docs.google.com/spreadsheets/d/1SX6NBoVAgQJ6U1MVXOaj8PK2l7WJ3RER9xtqwdhxkhw/edit?usp=sharing"",""เพชรบุรี!J177"")"),0)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IFERROR(__xludf.DUMMYFUNCTION("IMPORTRANGE(""https://docs.google.com/spreadsheets/d/1SX6NBoVAgQJ6U1MVXOaj8PK2l7WJ3RER9xtqwdhxkhw/edit?usp=sharing"",""เพชรบุรี!J178"")"),0)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IFERROR(__xludf.DUMMYFUNCTION("IMPORTRANGE(""https://docs.google.com/spreadsheets/d/1SX6NBoVAgQJ6U1MVXOaj8PK2l7WJ3RER9xtqwdhxkhw/edit?usp=sharing"",""เพชรบุรี!I179"")"),0)</f>
        <v>0</v>
      </c>
      <c r="J264" s="189">
        <f ca="1">IFERROR(__xludf.DUMMYFUNCTION("IMPORTRANGE(""https://docs.google.com/spreadsheets/d/1SX6NBoVAgQJ6U1MVXOaj8PK2l7WJ3RER9xtqwdhxkhw/edit?usp=sharing"",""เพชรบุรี!J179"")"),0)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IFERROR(__xludf.DUMMYFUNCTION("IMPORTRANGE(""https://docs.google.com/spreadsheets/d/1SX6NBoVAgQJ6U1MVXOaj8PK2l7WJ3RER9xtqwdhxkhw/edit?usp=sharing"",""เพชรบุรี!I180"")"),0)</f>
        <v>0</v>
      </c>
      <c r="J265" s="189">
        <f ca="1">IFERROR(__xludf.DUMMYFUNCTION("IMPORTRANGE(""https://docs.google.com/spreadsheets/d/1SX6NBoVAgQJ6U1MVXOaj8PK2l7WJ3RER9xtqwdhxkhw/edit?usp=sharing"",""เพชรบุรี!J180"")"),0)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IFERROR(__xludf.DUMMYFUNCTION("IMPORTRANGE(""https://docs.google.com/spreadsheets/d/1SX6NBoVAgQJ6U1MVXOaj8PK2l7WJ3RER9xtqwdhxkhw/edit?usp=sharing"",""เพชรบุรี!I181"")"),0)</f>
        <v>0</v>
      </c>
      <c r="J266" s="189">
        <f ca="1">IFERROR(__xludf.DUMMYFUNCTION("IMPORTRANGE(""https://docs.google.com/spreadsheets/d/1SX6NBoVAgQJ6U1MVXOaj8PK2l7WJ3RER9xtqwdhxkhw/edit?usp=sharing"",""เพชรบุรี!J181"")"),0)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IFERROR(__xludf.DUMMYFUNCTION("IMPORTRANGE(""https://docs.google.com/spreadsheets/d/1SX6NBoVAgQJ6U1MVXOaj8PK2l7WJ3RER9xtqwdhxkhw/edit?usp=sharing"",""เพชรบุรี!I182"")"),0)</f>
        <v>0</v>
      </c>
      <c r="J267" s="189">
        <f ca="1">IFERROR(__xludf.DUMMYFUNCTION("IMPORTRANGE(""https://docs.google.com/spreadsheets/d/1SX6NBoVAgQJ6U1MVXOaj8PK2l7WJ3RER9xtqwdhxkhw/edit?usp=sharing"",""เพชรบุรี!J182"")"),0)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IFERROR(__xludf.DUMMYFUNCTION("IMPORTRANGE(""https://docs.google.com/spreadsheets/d/1SX6NBoVAgQJ6U1MVXOaj8PK2l7WJ3RER9xtqwdhxkhw/edit?usp=sharing"",""เพชรบุรี!J183"")"),0)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IFERROR(__xludf.DUMMYFUNCTION("IMPORTRANGE(""https://docs.google.com/spreadsheets/d/1SX6NBoVAgQJ6U1MVXOaj8PK2l7WJ3RER9xtqwdhxkhw/edit?usp=sharing"",""เพชรบุรี!J184"")"),0)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IFERROR(__xludf.DUMMYFUNCTION("IMPORTRANGE(""https://docs.google.com/spreadsheets/d/1SX6NBoVAgQJ6U1MVXOaj8PK2l7WJ3RER9xtqwdhxkhw/edit?usp=sharing"",""เพชรบุรี!I185"")"),0)</f>
        <v>0</v>
      </c>
      <c r="J270" s="316">
        <f ca="1">IFERROR(__xludf.DUMMYFUNCTION("IMPORTRANGE(""https://docs.google.com/spreadsheets/d/1SX6NBoVAgQJ6U1MVXOaj8PK2l7WJ3RER9xtqwdhxkhw/edit?usp=sharing"",""เพชรบุรี!J185"")"),0)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IFERROR(__xludf.DUMMYFUNCTION("IMPORTRANGE(""https://docs.google.com/spreadsheets/d/1Yj_ptqi66GCucihVvJfMjLAmec39IyEx_6qawtMGysU/edit?usp=sharing"",""สบก!CK71"")"),0)</f>
        <v>0</v>
      </c>
      <c r="N275" s="169">
        <f ca="1">IFERROR(__xludf.DUMMYFUNCTION("IMPORTRANGE(""https://docs.google.com/spreadsheets/d/1Yj_ptqi66GCucihVvJfMjLAmec39IyEx_6qawtMGysU/edit?usp=sharing"",""สบก!CL71"")"),0)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IFERROR(__xludf.DUMMYFUNCTION("IMPORTRANGE(""https://docs.google.com/spreadsheets/d/1Yj_ptqi66GCucihVvJfMjLAmec39IyEx_6qawtMGysU/edit?usp=sharing"",""สบก!CG71"")"),0)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IFERROR(__xludf.DUMMYFUNCTION("IMPORTRANGE(""https://docs.google.com/spreadsheets/d/1Yj_ptqi66GCucihVvJfMjLAmec39IyEx_6qawtMGysU/edit?usp=sharing"",""สบก!CH71"")"),0)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IFERROR(__xludf.DUMMYFUNCTION("IMPORTRANGE(""https://docs.google.com/spreadsheets/d/1Yj_ptqi66GCucihVvJfMjLAmec39IyEx_6qawtMGysU/edit?usp=sharing"",""สบก!CI71"")"),0)</f>
        <v>0</v>
      </c>
      <c r="M279" s="49"/>
      <c r="N279" s="49">
        <f ca="1">IFERROR(__xludf.DUMMYFUNCTION("IMPORTRANGE(""https://docs.google.com/spreadsheets/d/1Yj_ptqi66GCucihVvJfMjLAmec39IyEx_6qawtMGysU/edit?usp=sharing"",""สบก!CM71"")"),0)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IFERROR(__xludf.DUMMYFUNCTION("IMPORTRANGE(""https://docs.google.com/spreadsheets/d/1SX6NBoVAgQJ6U1MVXOaj8PK2l7WJ3RER9xtqwdhxkhw/edit?usp=sharing"",""เพชรบุรี!J191"")"),0)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IFERROR(__xludf.DUMMYFUNCTION("IMPORTRANGE(""https://docs.google.com/spreadsheets/d/1SX6NBoVAgQJ6U1MVXOaj8PK2l7WJ3RER9xtqwdhxkhw/edit?usp=sharing"",""เพชรบุรี!J192"")"),0)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IFERROR(__xludf.DUMMYFUNCTION("IMPORTRANGE(""https://docs.google.com/spreadsheets/d/1SX6NBoVAgQJ6U1MVXOaj8PK2l7WJ3RER9xtqwdhxkhw/edit?usp=sharing"",""เพชรบุรี!J193"")"),0)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IFERROR(__xludf.DUMMYFUNCTION("IMPORTRANGE(""https://docs.google.com/spreadsheets/d/1SX6NBoVAgQJ6U1MVXOaj8PK2l7WJ3RER9xtqwdhxkhw/edit?usp=sharing"",""เพชรบุรี!J194"")"),0)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IFERROR(__xludf.DUMMYFUNCTION("IMPORTRANGE(""https://docs.google.com/spreadsheets/d/1SX6NBoVAgQJ6U1MVXOaj8PK2l7WJ3RER9xtqwdhxkhw/edit?usp=sharing"",""เพชรบุรี!I195"")"),0)</f>
        <v>0</v>
      </c>
      <c r="J285" s="189">
        <f ca="1">IFERROR(__xludf.DUMMYFUNCTION("IMPORTRANGE(""https://docs.google.com/spreadsheets/d/1SX6NBoVAgQJ6U1MVXOaj8PK2l7WJ3RER9xtqwdhxkhw/edit?usp=sharing"",""เพชรบุรี!J195"")"),0)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IFERROR(__xludf.DUMMYFUNCTION("IMPORTRANGE(""https://docs.google.com/spreadsheets/d/1SX6NBoVAgQJ6U1MVXOaj8PK2l7WJ3RER9xtqwdhxkhw/edit?usp=sharing"",""เพชรบุรี!J196"")"),0)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IFERROR(__xludf.DUMMYFUNCTION("IMPORTRANGE(""https://docs.google.com/spreadsheets/d/1SX6NBoVAgQJ6U1MVXOaj8PK2l7WJ3RER9xtqwdhxkhw/edit?usp=sharing"",""เพชรบุรี!J197"")"),0)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IFERROR(__xludf.DUMMYFUNCTION("IMPORTRANGE(""https://docs.google.com/spreadsheets/d/1SX6NBoVAgQJ6U1MVXOaj8PK2l7WJ3RER9xtqwdhxkhw/edit?usp=sharing"",""เพชรบุรี!I199"")"),0)</f>
        <v>0</v>
      </c>
      <c r="J289" s="316">
        <f ca="1">IFERROR(__xludf.DUMMYFUNCTION("IMPORTRANGE(""https://docs.google.com/spreadsheets/d/1SX6NBoVAgQJ6U1MVXOaj8PK2l7WJ3RER9xtqwdhxkhw/edit?usp=sharing"",""เพชรบุรี!J199"")"),0)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IFERROR(__xludf.DUMMYFUNCTION("IMPORTRANGE(""https://docs.google.com/spreadsheets/d/1Yj_ptqi66GCucihVvJfMjLAmec39IyEx_6qawtMGysU/edit?usp=sharing"",""สบก!CT71"")"),0)</f>
        <v>0</v>
      </c>
      <c r="N294" s="169">
        <f ca="1">IFERROR(__xludf.DUMMYFUNCTION("IMPORTRANGE(""https://docs.google.com/spreadsheets/d/1Yj_ptqi66GCucihVvJfMjLAmec39IyEx_6qawtMGysU/edit?usp=sharing"",""สบก!CU71"")"),0)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IFERROR(__xludf.DUMMYFUNCTION("IMPORTRANGE(""https://docs.google.com/spreadsheets/d/1Yj_ptqi66GCucihVvJfMjLAmec39IyEx_6qawtMGysU/edit?usp=sharing"",""สบก!CP71"")"),0)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IFERROR(__xludf.DUMMYFUNCTION("IMPORTRANGE(""https://docs.google.com/spreadsheets/d/1Yj_ptqi66GCucihVvJfMjLAmec39IyEx_6qawtMGysU/edit?usp=sharing"",""สบก!CQ71"")"),0)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IFERROR(__xludf.DUMMYFUNCTION("IMPORTRANGE(""https://docs.google.com/spreadsheets/d/1Yj_ptqi66GCucihVvJfMjLAmec39IyEx_6qawtMGysU/edit?usp=sharing"",""สบก!CR71"")"),0)</f>
        <v>0</v>
      </c>
      <c r="M298" s="49"/>
      <c r="N298" s="49">
        <f ca="1">IFERROR(__xludf.DUMMYFUNCTION("IMPORTRANGE(""https://docs.google.com/spreadsheets/d/1Yj_ptqi66GCucihVvJfMjLAmec39IyEx_6qawtMGysU/edit?usp=sharing"",""สบก!CV71"")"),0)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IFERROR(__xludf.DUMMYFUNCTION("IMPORTRANGE(""https://docs.google.com/spreadsheets/d/1SX6NBoVAgQJ6U1MVXOaj8PK2l7WJ3RER9xtqwdhxkhw/edit?usp=sharing"",""เพชรบุรี!J205"")"),0)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IFERROR(__xludf.DUMMYFUNCTION("IMPORTRANGE(""https://docs.google.com/spreadsheets/d/1SX6NBoVAgQJ6U1MVXOaj8PK2l7WJ3RER9xtqwdhxkhw/edit?usp=sharing"",""เพชรบุรี!J206"")"),0)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IFERROR(__xludf.DUMMYFUNCTION("IMPORTRANGE(""https://docs.google.com/spreadsheets/d/1SX6NBoVAgQJ6U1MVXOaj8PK2l7WJ3RER9xtqwdhxkhw/edit?usp=sharing"",""เพชรบุรี!J207"")"),0)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IFERROR(__xludf.DUMMYFUNCTION("IMPORTRANGE(""https://docs.google.com/spreadsheets/d/1SX6NBoVAgQJ6U1MVXOaj8PK2l7WJ3RER9xtqwdhxkhw/edit?usp=sharing"",""เพชรบุรี!J208"")"),0)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IFERROR(__xludf.DUMMYFUNCTION("IMPORTRANGE(""https://docs.google.com/spreadsheets/d/1SX6NBoVAgQJ6U1MVXOaj8PK2l7WJ3RER9xtqwdhxkhw/edit?usp=sharing"",""เพชรบุรี!I209"")"),0)</f>
        <v>0</v>
      </c>
      <c r="J304" s="204">
        <f ca="1">IFERROR(__xludf.DUMMYFUNCTION("IMPORTRANGE(""https://docs.google.com/spreadsheets/d/1SX6NBoVAgQJ6U1MVXOaj8PK2l7WJ3RER9xtqwdhxkhw/edit?usp=sharing"",""เพชรบุรี!J209"")"),0)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IFERROR(__xludf.DUMMYFUNCTION("IMPORTRANGE(""https://docs.google.com/spreadsheets/d/1SX6NBoVAgQJ6U1MVXOaj8PK2l7WJ3RER9xtqwdhxkhw/edit?usp=sharing"",""เพชรบุรี!I211"")"),0)</f>
        <v>0</v>
      </c>
      <c r="J306" s="204">
        <f ca="1">IFERROR(__xludf.DUMMYFUNCTION("IMPORTRANGE(""https://docs.google.com/spreadsheets/d/1SX6NBoVAgQJ6U1MVXOaj8PK2l7WJ3RER9xtqwdhxkhw/edit?usp=sharing"",""เพชรบุรี!J211"")"),0)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IFERROR(__xludf.DUMMYFUNCTION("IMPORTRANGE(""https://docs.google.com/spreadsheets/d/1SX6NBoVAgQJ6U1MVXOaj8PK2l7WJ3RER9xtqwdhxkhw/edit?usp=sharing"",""เพชรบุรี!J212"")"),0)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IFERROR(__xludf.DUMMYFUNCTION("IMPORTRANGE(""https://docs.google.com/spreadsheets/d/1SX6NBoVAgQJ6U1MVXOaj8PK2l7WJ3RER9xtqwdhxkhw/edit?usp=sharing"",""เพชรบุรี!J213"")"),0)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IFERROR(__xludf.DUMMYFUNCTION("IMPORTRANGE(""https://docs.google.com/spreadsheets/d/1SX6NBoVAgQJ6U1MVXOaj8PK2l7WJ3RER9xtqwdhxkhw/edit?usp=sharing"",""เพชรบุรี!I214"")"),0)</f>
        <v>0</v>
      </c>
      <c r="J309" s="333">
        <f ca="1">IFERROR(__xludf.DUMMYFUNCTION("IMPORTRANGE(""https://docs.google.com/spreadsheets/d/1SX6NBoVAgQJ6U1MVXOaj8PK2l7WJ3RER9xtqwdhxkhw/edit?usp=sharing"",""เพชรบุรี!J214"")"),0)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IFERROR(__xludf.DUMMYFUNCTION("IMPORTRANGE(""https://docs.google.com/spreadsheets/d/1Yj_ptqi66GCucihVvJfMjLAmec39IyEx_6qawtMGysU/edit?usp=sharing"",""สบก!DC71"")"),0)</f>
        <v>0</v>
      </c>
      <c r="N314" s="169">
        <f ca="1">IFERROR(__xludf.DUMMYFUNCTION("IMPORTRANGE(""https://docs.google.com/spreadsheets/d/1Yj_ptqi66GCucihVvJfMjLAmec39IyEx_6qawtMGysU/edit?usp=sharing"",""สบก!DD71"")"),0)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IFERROR(__xludf.DUMMYFUNCTION("IMPORTRANGE(""https://docs.google.com/spreadsheets/d/1Yj_ptqi66GCucihVvJfMjLAmec39IyEx_6qawtMGysU/edit?usp=sharing"",""สบก!CY71"")"),0)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IFERROR(__xludf.DUMMYFUNCTION("IMPORTRANGE(""https://docs.google.com/spreadsheets/d/1Yj_ptqi66GCucihVvJfMjLAmec39IyEx_6qawtMGysU/edit?usp=sharing"",""สบก!CZ71"")"),0)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IFERROR(__xludf.DUMMYFUNCTION("IMPORTRANGE(""https://docs.google.com/spreadsheets/d/1Yj_ptqi66GCucihVvJfMjLAmec39IyEx_6qawtMGysU/edit?usp=sharing"",""สบก!DA71"")"),0)</f>
        <v>0</v>
      </c>
      <c r="M318" s="49"/>
      <c r="N318" s="49">
        <f ca="1">IFERROR(__xludf.DUMMYFUNCTION("IMPORTRANGE(""https://docs.google.com/spreadsheets/d/1Yj_ptqi66GCucihVvJfMjLAmec39IyEx_6qawtMGysU/edit?usp=sharing"",""สบก!DE71"")"),0)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IFERROR(__xludf.DUMMYFUNCTION("IMPORTRANGE(""https://docs.google.com/spreadsheets/d/1SX6NBoVAgQJ6U1MVXOaj8PK2l7WJ3RER9xtqwdhxkhw/edit?usp=sharing"",""เพชรบุรี!J220"")"),0)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IFERROR(__xludf.DUMMYFUNCTION("IMPORTRANGE(""https://docs.google.com/spreadsheets/d/1SX6NBoVAgQJ6U1MVXOaj8PK2l7WJ3RER9xtqwdhxkhw/edit?usp=sharing"",""เพชรบุรี!J221"")"),0)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IFERROR(__xludf.DUMMYFUNCTION("IMPORTRANGE(""https://docs.google.com/spreadsheets/d/1SX6NBoVAgQJ6U1MVXOaj8PK2l7WJ3RER9xtqwdhxkhw/edit?usp=sharing"",""เพชรบุรี!J222"")"),0)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IFERROR(__xludf.DUMMYFUNCTION("IMPORTRANGE(""https://docs.google.com/spreadsheets/d/1SX6NBoVAgQJ6U1MVXOaj8PK2l7WJ3RER9xtqwdhxkhw/edit?usp=sharing"",""เพชรบุรี!J223"")"),0)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IFERROR(__xludf.DUMMYFUNCTION("IMPORTRANGE(""https://docs.google.com/spreadsheets/d/1SX6NBoVAgQJ6U1MVXOaj8PK2l7WJ3RER9xtqwdhxkhw/edit?usp=sharing"",""เพชรบุรี!I224"")"),0)</f>
        <v>0</v>
      </c>
      <c r="J324" s="204">
        <f ca="1">IFERROR(__xludf.DUMMYFUNCTION("IMPORTRANGE(""https://docs.google.com/spreadsheets/d/1SX6NBoVAgQJ6U1MVXOaj8PK2l7WJ3RER9xtqwdhxkhw/edit?usp=sharing"",""เพชรบุรี!J224"")"),0)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IFERROR(__xludf.DUMMYFUNCTION("IMPORTRANGE(""https://docs.google.com/spreadsheets/d/1SX6NBoVAgQJ6U1MVXOaj8PK2l7WJ3RER9xtqwdhxkhw/edit?usp=sharing"",""เพชรบุรี!J225"")"),0)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IFERROR(__xludf.DUMMYFUNCTION("IMPORTRANGE(""https://docs.google.com/spreadsheets/d/1SX6NBoVAgQJ6U1MVXOaj8PK2l7WJ3RER9xtqwdhxkhw/edit?usp=sharing"",""เพชรบุรี!J226"")"),0)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IFERROR(__xludf.DUMMYFUNCTION("IMPORTRANGE(""https://docs.google.com/spreadsheets/d/1SX6NBoVAgQJ6U1MVXOaj8PK2l7WJ3RER9xtqwdhxkhw/edit?usp=sharing"",""เพชรบุรี!I228"")"),33)</f>
        <v>33</v>
      </c>
      <c r="J328" s="339">
        <f ca="1">IFERROR(__xludf.DUMMYFUNCTION("IMPORTRANGE(""https://docs.google.com/spreadsheets/d/1SX6NBoVAgQJ6U1MVXOaj8PK2l7WJ3RER9xtqwdhxkhw/edit?usp=sharing"",""เพชรบุรี!J228"")"),5)</f>
        <v>5</v>
      </c>
      <c r="K328" s="317">
        <f ca="1">IF(I328&gt;0,J328*100/I328,0)</f>
        <v>15.151515151515152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701880</v>
      </c>
      <c r="M329" s="152">
        <f t="shared" ca="1" si="98"/>
        <v>514520</v>
      </c>
      <c r="N329" s="152">
        <f t="shared" ca="1" si="98"/>
        <v>380429.3</v>
      </c>
      <c r="O329" s="151">
        <f t="shared" ref="O329:O331" ca="1" si="99">IF(L329&gt;0,N329*100/L329,0)</f>
        <v>54.201473186299651</v>
      </c>
      <c r="P329" s="151">
        <f t="shared" ref="P329:P331" ca="1" si="100">IF(M329&gt;0,N329*100/M329,0)</f>
        <v>73.938680712120032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701880</v>
      </c>
      <c r="M331" s="157">
        <f t="shared" ca="1" si="102"/>
        <v>514520</v>
      </c>
      <c r="N331" s="157">
        <f t="shared" ca="1" si="102"/>
        <v>380429.3</v>
      </c>
      <c r="O331" s="156">
        <f t="shared" ca="1" si="99"/>
        <v>54.201473186299651</v>
      </c>
      <c r="P331" s="156">
        <f t="shared" ca="1" si="100"/>
        <v>73.938680712120032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701880</v>
      </c>
      <c r="M333" s="168">
        <f ca="1">IFERROR(__xludf.DUMMYFUNCTION("IMPORTRANGE(""https://docs.google.com/spreadsheets/d/1Yj_ptqi66GCucihVvJfMjLAmec39IyEx_6qawtMGysU/edit?usp=sharing"",""สบก!DL71"")"),514520)</f>
        <v>514520</v>
      </c>
      <c r="N333" s="169">
        <f ca="1">IFERROR(__xludf.DUMMYFUNCTION("IMPORTRANGE(""https://docs.google.com/spreadsheets/d/1Yj_ptqi66GCucihVvJfMjLAmec39IyEx_6qawtMGysU/edit?usp=sharing"",""สบก!DM71"")"),380429.3)</f>
        <v>380429.3</v>
      </c>
      <c r="O333" s="169">
        <f ca="1">IF(L333&gt;0,N333*100/L333,0)</f>
        <v>54.201473186299651</v>
      </c>
      <c r="P333" s="169">
        <f ca="1">IF(M333&gt;0,N333*100/M333,0)</f>
        <v>73.938680712120032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IFERROR(__xludf.DUMMYFUNCTION("IMPORTRANGE(""https://docs.google.com/spreadsheets/d/1Yj_ptqi66GCucihVvJfMjLAmec39IyEx_6qawtMGysU/edit?usp=sharing"",""สบก!DH71"")"),493800)</f>
        <v>493800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IFERROR(__xludf.DUMMYFUNCTION("IMPORTRANGE(""https://docs.google.com/spreadsheets/d/1Yj_ptqi66GCucihVvJfMjLAmec39IyEx_6qawtMGysU/edit?usp=sharing"",""สบก!DI71"")"),208080)</f>
        <v>208080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IFERROR(__xludf.DUMMYFUNCTION("IMPORTRANGE(""https://docs.google.com/spreadsheets/d/1Yj_ptqi66GCucihVvJfMjLAmec39IyEx_6qawtMGysU/edit?usp=sharing"",""สบก!DJ71"")"),0)</f>
        <v>0</v>
      </c>
      <c r="M337" s="49"/>
      <c r="N337" s="49">
        <f ca="1">IFERROR(__xludf.DUMMYFUNCTION("IMPORTRANGE(""https://docs.google.com/spreadsheets/d/1Yj_ptqi66GCucihVvJfMjLAmec39IyEx_6qawtMGysU/edit?usp=sharing"",""สบก!DN71"")"),0)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IFERROR(__xludf.DUMMYFUNCTION("IMPORTRANGE(""https://docs.google.com/spreadsheets/d/1SX6NBoVAgQJ6U1MVXOaj8PK2l7WJ3RER9xtqwdhxkhw/edit?usp=sharing"",""เพชรบุรี!I234"")"),0)</f>
        <v>0</v>
      </c>
      <c r="J339" s="188">
        <f ca="1">IFERROR(__xludf.DUMMYFUNCTION("IMPORTRANGE(""https://docs.google.com/spreadsheets/d/1SX6NBoVAgQJ6U1MVXOaj8PK2l7WJ3RER9xtqwdhxkhw/edit?usp=sharing"",""เพชรบุรี!J234"")"),0)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IFERROR(__xludf.DUMMYFUNCTION("IMPORTRANGE(""https://docs.google.com/spreadsheets/d/1SX6NBoVAgQJ6U1MVXOaj8PK2l7WJ3RER9xtqwdhxkhw/edit?usp=sharing"",""เพชรบุรี!I235"")"),180)</f>
        <v>180</v>
      </c>
      <c r="J340" s="188">
        <f ca="1">IFERROR(__xludf.DUMMYFUNCTION("IMPORTRANGE(""https://docs.google.com/spreadsheets/d/1SX6NBoVAgQJ6U1MVXOaj8PK2l7WJ3RER9xtqwdhxkhw/edit?usp=sharing"",""เพชรบุรี!J235"")"),0)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IFERROR(__xludf.DUMMYFUNCTION("IMPORTRANGE(""https://docs.google.com/spreadsheets/d/1SX6NBoVAgQJ6U1MVXOaj8PK2l7WJ3RER9xtqwdhxkhw/edit?usp=sharing"",""เพชรบุรี!I236"")"),33)</f>
        <v>33</v>
      </c>
      <c r="J341" s="188">
        <f ca="1">IFERROR(__xludf.DUMMYFUNCTION("IMPORTRANGE(""https://docs.google.com/spreadsheets/d/1SX6NBoVAgQJ6U1MVXOaj8PK2l7WJ3RER9xtqwdhxkhw/edit?usp=sharing"",""เพชรบุรี!J236"")"),7)</f>
        <v>7</v>
      </c>
      <c r="K341" s="342">
        <f t="shared" ca="1" si="103"/>
        <v>21.212121212121211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IFERROR(__xludf.DUMMYFUNCTION("IMPORTRANGE(""https://docs.google.com/spreadsheets/d/1SX6NBoVAgQJ6U1MVXOaj8PK2l7WJ3RER9xtqwdhxkhw/edit?usp=sharing"",""เพชรบุรี!I237"")"),0)</f>
        <v>0</v>
      </c>
      <c r="J342" s="188">
        <f ca="1">IFERROR(__xludf.DUMMYFUNCTION("IMPORTRANGE(""https://docs.google.com/spreadsheets/d/1SX6NBoVAgQJ6U1MVXOaj8PK2l7WJ3RER9xtqwdhxkhw/edit?usp=sharing"",""เพชรบุรี!J237"")"),53.88)</f>
        <v>53.88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IFERROR(__xludf.DUMMYFUNCTION("IMPORTRANGE(""https://docs.google.com/spreadsheets/d/1SX6NBoVAgQJ6U1MVXOaj8PK2l7WJ3RER9xtqwdhxkhw/edit?usp=sharing"",""เพชรบุรี!I238"")"),33)</f>
        <v>33</v>
      </c>
      <c r="J343" s="188">
        <f ca="1">IFERROR(__xludf.DUMMYFUNCTION("IMPORTRANGE(""https://docs.google.com/spreadsheets/d/1SX6NBoVAgQJ6U1MVXOaj8PK2l7WJ3RER9xtqwdhxkhw/edit?usp=sharing"",""เพชรบุรี!J238"")"),0)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IFERROR(__xludf.DUMMYFUNCTION("IMPORTRANGE(""https://docs.google.com/spreadsheets/d/1SX6NBoVAgQJ6U1MVXOaj8PK2l7WJ3RER9xtqwdhxkhw/edit?usp=sharing"",""เพชรบุรี!I239"")"),0)</f>
        <v>0</v>
      </c>
      <c r="J344" s="188">
        <f ca="1">IFERROR(__xludf.DUMMYFUNCTION("IMPORTRANGE(""https://docs.google.com/spreadsheets/d/1SX6NBoVAgQJ6U1MVXOaj8PK2l7WJ3RER9xtqwdhxkhw/edit?usp=sharing"",""เพชรบุรี!J239"")"),0)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IFERROR(__xludf.DUMMYFUNCTION("IMPORTRANGE(""https://docs.google.com/spreadsheets/d/1SX6NBoVAgQJ6U1MVXOaj8PK2l7WJ3RER9xtqwdhxkhw/edit?usp=sharing"",""เพชรบุรี!I240"")"),33)</f>
        <v>33</v>
      </c>
      <c r="J345" s="188">
        <f ca="1">IFERROR(__xludf.DUMMYFUNCTION("IMPORTRANGE(""https://docs.google.com/spreadsheets/d/1SX6NBoVAgQJ6U1MVXOaj8PK2l7WJ3RER9xtqwdhxkhw/edit?usp=sharing"",""เพชรบุรี!J240"")"),5)</f>
        <v>5</v>
      </c>
      <c r="K345" s="342">
        <f t="shared" ca="1" si="103"/>
        <v>15.151515151515152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IFERROR(__xludf.DUMMYFUNCTION("IMPORTRANGE(""https://docs.google.com/spreadsheets/d/1SX6NBoVAgQJ6U1MVXOaj8PK2l7WJ3RER9xtqwdhxkhw/edit?usp=sharing"",""เพชรบุรี!I241"")"),0)</f>
        <v>0</v>
      </c>
      <c r="J346" s="188">
        <f ca="1">IFERROR(__xludf.DUMMYFUNCTION("IMPORTRANGE(""https://docs.google.com/spreadsheets/d/1SX6NBoVAgQJ6U1MVXOaj8PK2l7WJ3RER9xtqwdhxkhw/edit?usp=sharing"",""เพชรบุรี!J241"")"),35.33)</f>
        <v>35.33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IFERROR(__xludf.DUMMYFUNCTION("IMPORTRANGE(""https://docs.google.com/spreadsheets/d/1SX6NBoVAgQJ6U1MVXOaj8PK2l7WJ3RER9xtqwdhxkhw/edit?usp=sharing"",""เพชรบุรี!L242"")"),837597)</f>
        <v>837597</v>
      </c>
      <c r="M347" s="358"/>
      <c r="N347" s="358">
        <f ca="1">IFERROR(__xludf.DUMMYFUNCTION("IMPORTRANGE(""https://docs.google.com/spreadsheets/d/1SX6NBoVAgQJ6U1MVXOaj8PK2l7WJ3RER9xtqwdhxkhw/edit?usp=sharing"",""เพชรบุรี!M242"")"),415929)</f>
        <v>415929</v>
      </c>
      <c r="O347" s="358">
        <f ca="1">+IF(L347&gt;0,N347*100/L347,0)</f>
        <v>49.657412813083141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IFERROR(__xludf.DUMMYFUNCTION("IMPORTRANGE(""https://docs.google.com/spreadsheets/d/1SX6NBoVAgQJ6U1MVXOaj8PK2l7WJ3RER9xtqwdhxkhw/edit?usp=sharing"",""เพชรบุรี!I244"")"),0)</f>
        <v>0</v>
      </c>
      <c r="J349" s="371">
        <f ca="1">IFERROR(__xludf.DUMMYFUNCTION("IMPORTRANGE(""https://docs.google.com/spreadsheets/d/1SX6NBoVAgQJ6U1MVXOaj8PK2l7WJ3RER9xtqwdhxkhw/edit?usp=sharing"",""เพชรบุรี!J244"")"),0)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IFERROR(__xludf.DUMMYFUNCTION("IMPORTRANGE(""https://docs.google.com/spreadsheets/d/1SX6NBoVAgQJ6U1MVXOaj8PK2l7WJ3RER9xtqwdhxkhw/edit?usp=sharing"",""เพชรบุรี!L244"")"),0)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IFERROR(__xludf.DUMMYFUNCTION("IMPORTRANGE(""https://docs.google.com/spreadsheets/d/1SX6NBoVAgQJ6U1MVXOaj8PK2l7WJ3RER9xtqwdhxkhw/edit?usp=sharing"",""เพชรบุรี!M244"")"),0)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IFERROR(__xludf.DUMMYFUNCTION("IMPORTRANGE(""https://docs.google.com/spreadsheets/d/1SX6NBoVAgQJ6U1MVXOaj8PK2l7WJ3RER9xtqwdhxkhw/edit?usp=sharing"",""เพชรบุรี!I245"")"),0)</f>
        <v>0</v>
      </c>
      <c r="J350" s="371">
        <f ca="1">IFERROR(__xludf.DUMMYFUNCTION("IMPORTRANGE(""https://docs.google.com/spreadsheets/d/1SX6NBoVAgQJ6U1MVXOaj8PK2l7WJ3RER9xtqwdhxkhw/edit?usp=sharing"",""เพชรบุรี!J245"")"),0)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IFERROR(__xludf.DUMMYFUNCTION("IMPORTRANGE(""https://docs.google.com/spreadsheets/d/1SX6NBoVAgQJ6U1MVXOaj8PK2l7WJ3RER9xtqwdhxkhw/edit?usp=sharing"",""เพชรบุรี!L246"")"),0)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IFERROR(__xludf.DUMMYFUNCTION("IMPORTRANGE(""https://docs.google.com/spreadsheets/d/1SX6NBoVAgQJ6U1MVXOaj8PK2l7WJ3RER9xtqwdhxkhw/edit?usp=sharing"",""เพชรบุรี!M246"")"),0)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IFERROR(__xludf.DUMMYFUNCTION("IMPORTRANGE(""https://docs.google.com/spreadsheets/d/1SX6NBoVAgQJ6U1MVXOaj8PK2l7WJ3RER9xtqwdhxkhw/edit?usp=sharing"",""เพชรบุรี!L247"")"),0)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IFERROR(__xludf.DUMMYFUNCTION("IMPORTRANGE(""https://docs.google.com/spreadsheets/d/1SX6NBoVAgQJ6U1MVXOaj8PK2l7WJ3RER9xtqwdhxkhw/edit?usp=sharing"",""เพชรบุรี!M247"")"),0)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IFERROR(__xludf.DUMMYFUNCTION("IMPORTRANGE(""https://docs.google.com/spreadsheets/d/1SX6NBoVAgQJ6U1MVXOaj8PK2l7WJ3RER9xtqwdhxkhw/edit?usp=sharing"",""เพชรบุรี!L248"")"),0)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IFERROR(__xludf.DUMMYFUNCTION("IMPORTRANGE(""https://docs.google.com/spreadsheets/d/1SX6NBoVAgQJ6U1MVXOaj8PK2l7WJ3RER9xtqwdhxkhw/edit?usp=sharing"",""เพชรบุรี!M248"")"),0)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IFERROR(__xludf.DUMMYFUNCTION("IMPORTRANGE(""https://docs.google.com/spreadsheets/d/1SX6NBoVAgQJ6U1MVXOaj8PK2l7WJ3RER9xtqwdhxkhw/edit?usp=sharing"",""เพชรบุรี!L249"")"),0)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IFERROR(__xludf.DUMMYFUNCTION("IMPORTRANGE(""https://docs.google.com/spreadsheets/d/1SX6NBoVAgQJ6U1MVXOaj8PK2l7WJ3RER9xtqwdhxkhw/edit?usp=sharing"",""เพชรบุรี!M249"")"),0)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IFERROR(__xludf.DUMMYFUNCTION("IMPORTRANGE(""https://docs.google.com/spreadsheets/d/1SX6NBoVAgQJ6U1MVXOaj8PK2l7WJ3RER9xtqwdhxkhw/edit?usp=sharing"",""เพชรบุรี!M250"")"),0)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IFERROR(__xludf.DUMMYFUNCTION("IMPORTRANGE(""https://docs.google.com/spreadsheets/d/1SX6NBoVAgQJ6U1MVXOaj8PK2l7WJ3RER9xtqwdhxkhw/edit?usp=sharing"",""เพชรบุรี!M251"")"),0)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IFERROR(__xludf.DUMMYFUNCTION("IMPORTRANGE(""https://docs.google.com/spreadsheets/d/1SX6NBoVAgQJ6U1MVXOaj8PK2l7WJ3RER9xtqwdhxkhw/edit?usp=sharing"",""เพชรบุรี!M252"")"),0)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IFERROR(__xludf.DUMMYFUNCTION("IMPORTRANGE(""https://docs.google.com/spreadsheets/d/1SX6NBoVAgQJ6U1MVXOaj8PK2l7WJ3RER9xtqwdhxkhw/edit?usp=sharing"",""เพชรบุรี!M253"")"),0)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IFERROR(__xludf.DUMMYFUNCTION("IMPORTRANGE(""https://docs.google.com/spreadsheets/d/1SX6NBoVAgQJ6U1MVXOaj8PK2l7WJ3RER9xtqwdhxkhw/edit?usp=sharing"",""เพชรบุรี!J255"")"),0)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IFERROR(__xludf.DUMMYFUNCTION("IMPORTRANGE(""https://docs.google.com/spreadsheets/d/1SX6NBoVAgQJ6U1MVXOaj8PK2l7WJ3RER9xtqwdhxkhw/edit?usp=sharing"",""เพชรบุรี!J256"")"),0)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IFERROR(__xludf.DUMMYFUNCTION("IMPORTRANGE(""https://docs.google.com/spreadsheets/d/1SX6NBoVAgQJ6U1MVXOaj8PK2l7WJ3RER9xtqwdhxkhw/edit?usp=sharing"",""เพชรบุรี!J257"")"),0)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IFERROR(__xludf.DUMMYFUNCTION("IMPORTRANGE(""https://docs.google.com/spreadsheets/d/1SX6NBoVAgQJ6U1MVXOaj8PK2l7WJ3RER9xtqwdhxkhw/edit?usp=sharing"",""เพชรบุรี!J258"")"),0)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IFERROR(__xludf.DUMMYFUNCTION("IMPORTRANGE(""https://docs.google.com/spreadsheets/d/1SX6NBoVAgQJ6U1MVXOaj8PK2l7WJ3RER9xtqwdhxkhw/edit?usp=sharing"",""เพชรบุรี!J166"")"),0)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IFERROR(__xludf.DUMMYFUNCTION("IMPORTRANGE(""https://docs.google.com/spreadsheets/d/1SX6NBoVAgQJ6U1MVXOaj8PK2l7WJ3RER9xtqwdhxkhw/edit?usp=sharing"",""เพชรบุรี!J166"")"),0)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IFERROR(__xludf.DUMMYFUNCTION("IMPORTRANGE(""https://docs.google.com/spreadsheets/d/1SX6NBoVAgQJ6U1MVXOaj8PK2l7WJ3RER9xtqwdhxkhw/edit?usp=sharing"",""เพชรบุรี!J166"")"),0)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IFERROR(__xludf.DUMMYFUNCTION("IMPORTRANGE(""https://docs.google.com/spreadsheets/d/1SX6NBoVAgQJ6U1MVXOaj8PK2l7WJ3RER9xtqwdhxkhw/edit?usp=sharing"",""เพชรบุรี!J166"")"),0)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IFERROR(__xludf.DUMMYFUNCTION("IMPORTRANGE(""https://docs.google.com/spreadsheets/d/1SX6NBoVAgQJ6U1MVXOaj8PK2l7WJ3RER9xtqwdhxkhw/edit?usp=sharing"",""เพชรบุรี!I263"")"),0)</f>
        <v>0</v>
      </c>
      <c r="J368" s="188">
        <f ca="1">IFERROR(__xludf.DUMMYFUNCTION("IMPORTRANGE(""https://docs.google.com/spreadsheets/d/1SX6NBoVAgQJ6U1MVXOaj8PK2l7WJ3RER9xtqwdhxkhw/edit?usp=sharing"",""เพชรบุรี!J263"")"),0)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IFERROR(__xludf.DUMMYFUNCTION("IMPORTRANGE(""https://docs.google.com/spreadsheets/d/1SX6NBoVAgQJ6U1MVXOaj8PK2l7WJ3RER9xtqwdhxkhw/edit?usp=sharing"",""เพชรบุรี!I164"")"),0)</f>
        <v>0</v>
      </c>
      <c r="J369" s="204">
        <f ca="1">IFERROR(__xludf.DUMMYFUNCTION("IMPORTRANGE(""https://docs.google.com/spreadsheets/d/1SX6NBoVAgQJ6U1MVXOaj8PK2l7WJ3RER9xtqwdhxkhw/edit?usp=sharing"",""เพชรบุรี!J164"")"),0)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IFERROR(__xludf.DUMMYFUNCTION("IMPORTRANGE(""https://docs.google.com/spreadsheets/d/1SX6NBoVAgQJ6U1MVXOaj8PK2l7WJ3RER9xtqwdhxkhw/edit?usp=sharing"",""เพชรบุรี!I265"")"),0)</f>
        <v>0</v>
      </c>
      <c r="J370" s="204">
        <f ca="1">IFERROR(__xludf.DUMMYFUNCTION("IMPORTRANGE(""https://docs.google.com/spreadsheets/d/1SX6NBoVAgQJ6U1MVXOaj8PK2l7WJ3RER9xtqwdhxkhw/edit?usp=sharing"",""เพชรบุรี!J265"")"),0)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IFERROR(__xludf.DUMMYFUNCTION("IMPORTRANGE(""https://docs.google.com/spreadsheets/d/1SX6NBoVAgQJ6U1MVXOaj8PK2l7WJ3RER9xtqwdhxkhw/edit?usp=sharing"",""เพชรบุรี!I164"")"),0)</f>
        <v>0</v>
      </c>
      <c r="J371" s="189">
        <f ca="1">IFERROR(__xludf.DUMMYFUNCTION("IMPORTRANGE(""https://docs.google.com/spreadsheets/d/1SX6NBoVAgQJ6U1MVXOaj8PK2l7WJ3RER9xtqwdhxkhw/edit?usp=sharing"",""เพชรบุรี!J164"")"),0)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IFERROR(__xludf.DUMMYFUNCTION("IMPORTRANGE(""https://docs.google.com/spreadsheets/d/1SX6NBoVAgQJ6U1MVXOaj8PK2l7WJ3RER9xtqwdhxkhw/edit?usp=sharing"",""เพชรบุรี!I267"")"),0)</f>
        <v>0</v>
      </c>
      <c r="J372" s="189">
        <f ca="1">IFERROR(__xludf.DUMMYFUNCTION("IMPORTRANGE(""https://docs.google.com/spreadsheets/d/1SX6NBoVAgQJ6U1MVXOaj8PK2l7WJ3RER9xtqwdhxkhw/edit?usp=sharing"",""เพชรบุรี!J267"")"),0)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IFERROR(__xludf.DUMMYFUNCTION("IMPORTRANGE(""https://docs.google.com/spreadsheets/d/1SX6NBoVAgQJ6U1MVXOaj8PK2l7WJ3RER9xtqwdhxkhw/edit?usp=sharing"",""เพชรบุรี!I164"")"),0)</f>
        <v>0</v>
      </c>
      <c r="J373" s="204">
        <f ca="1">IFERROR(__xludf.DUMMYFUNCTION("IMPORTRANGE(""https://docs.google.com/spreadsheets/d/1SX6NBoVAgQJ6U1MVXOaj8PK2l7WJ3RER9xtqwdhxkhw/edit?usp=sharing"",""เพชรบุรี!J164"")"),0)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IFERROR(__xludf.DUMMYFUNCTION("IMPORTRANGE(""https://docs.google.com/spreadsheets/d/1SX6NBoVAgQJ6U1MVXOaj8PK2l7WJ3RER9xtqwdhxkhw/edit?usp=sharing"",""เพชรบุรี!I164"")"),0)</f>
        <v>0</v>
      </c>
      <c r="J374" s="188">
        <f ca="1">IFERROR(__xludf.DUMMYFUNCTION("IMPORTRANGE(""https://docs.google.com/spreadsheets/d/1SX6NBoVAgQJ6U1MVXOaj8PK2l7WJ3RER9xtqwdhxkhw/edit?usp=sharing"",""เพชรบุรี!J164"")"),0)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IFERROR(__xludf.DUMMYFUNCTION("IMPORTRANGE(""https://docs.google.com/spreadsheets/d/1SX6NBoVAgQJ6U1MVXOaj8PK2l7WJ3RER9xtqwdhxkhw/edit?usp=sharing"",""เพชรบุรี!I270"")"),0)</f>
        <v>0</v>
      </c>
      <c r="J375" s="188">
        <f ca="1">IFERROR(__xludf.DUMMYFUNCTION("IMPORTRANGE(""https://docs.google.com/spreadsheets/d/1SX6NBoVAgQJ6U1MVXOaj8PK2l7WJ3RER9xtqwdhxkhw/edit?usp=sharing"",""เพชรบุรี!J270"")"),0)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IFERROR(__xludf.DUMMYFUNCTION("IMPORTRANGE(""https://docs.google.com/spreadsheets/d/1SX6NBoVAgQJ6U1MVXOaj8PK2l7WJ3RER9xtqwdhxkhw/edit?usp=sharing"",""เพชรบุรี!I271"")"),0)</f>
        <v>0</v>
      </c>
      <c r="J376" s="189">
        <f ca="1">IFERROR(__xludf.DUMMYFUNCTION("IMPORTRANGE(""https://docs.google.com/spreadsheets/d/1SX6NBoVAgQJ6U1MVXOaj8PK2l7WJ3RER9xtqwdhxkhw/edit?usp=sharing"",""เพชรบุรี!J271"")"),0)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IFERROR(__xludf.DUMMYFUNCTION("IMPORTRANGE(""https://docs.google.com/spreadsheets/d/1SX6NBoVAgQJ6U1MVXOaj8PK2l7WJ3RER9xtqwdhxkhw/edit?usp=sharing"",""เพชรบุรี!I272"")"),0)</f>
        <v>0</v>
      </c>
      <c r="J377" s="204">
        <f ca="1">IFERROR(__xludf.DUMMYFUNCTION("IMPORTRANGE(""https://docs.google.com/spreadsheets/d/1SX6NBoVAgQJ6U1MVXOaj8PK2l7WJ3RER9xtqwdhxkhw/edit?usp=sharing"",""เพชรบุรี!J272"")"),0)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IFERROR(__xludf.DUMMYFUNCTION("IMPORTRANGE(""https://docs.google.com/spreadsheets/d/1SX6NBoVAgQJ6U1MVXOaj8PK2l7WJ3RER9xtqwdhxkhw/edit?usp=sharing"",""เพชรบุรี!J273"")"),0)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IFERROR(__xludf.DUMMYFUNCTION("IMPORTRANGE(""https://docs.google.com/spreadsheets/d/1SX6NBoVAgQJ6U1MVXOaj8PK2l7WJ3RER9xtqwdhxkhw/edit?usp=sharing"",""เพชรบุรี!J274"")"),0)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IFERROR(__xludf.DUMMYFUNCTION("IMPORTRANGE(""https://docs.google.com/spreadsheets/d/1SX6NBoVAgQJ6U1MVXOaj8PK2l7WJ3RER9xtqwdhxkhw/edit?usp=sharing"",""เพชรบุรี!I275"")"),200)</f>
        <v>200</v>
      </c>
      <c r="J380" s="371">
        <f ca="1">IFERROR(__xludf.DUMMYFUNCTION("IMPORTRANGE(""https://docs.google.com/spreadsheets/d/1SX6NBoVAgQJ6U1MVXOaj8PK2l7WJ3RER9xtqwdhxkhw/edit?usp=sharing"",""เพชรบุรี!J275"")"),53.25)</f>
        <v>53.25</v>
      </c>
      <c r="K380" s="372">
        <f t="shared" ref="K380:K381" ca="1" si="108">IF(I380&gt;0,J380*100/I380,0)</f>
        <v>26.625</v>
      </c>
      <c r="L380" s="373">
        <f ca="1">IFERROR(__xludf.DUMMYFUNCTION("IMPORTRANGE(""https://docs.google.com/spreadsheets/d/1SX6NBoVAgQJ6U1MVXOaj8PK2l7WJ3RER9xtqwdhxkhw/edit?usp=sharing"",""เพชรบุรี!L275"")"),207560)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IFERROR(__xludf.DUMMYFUNCTION("IMPORTRANGE(""https://docs.google.com/spreadsheets/d/1SX6NBoVAgQJ6U1MVXOaj8PK2l7WJ3RER9xtqwdhxkhw/edit?usp=sharing"",""เพชรบุรี!M275"")"),96910)</f>
        <v>96910</v>
      </c>
      <c r="O380" s="373">
        <f ca="1">+IF(L380&gt;0,N380*100/L380,0)</f>
        <v>46.690113702062057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IFERROR(__xludf.DUMMYFUNCTION("IMPORTRANGE(""https://docs.google.com/spreadsheets/d/1SX6NBoVAgQJ6U1MVXOaj8PK2l7WJ3RER9xtqwdhxkhw/edit?usp=sharing"",""เพชรบุรี!I276"")"),20)</f>
        <v>20</v>
      </c>
      <c r="J381" s="371">
        <f ca="1">IFERROR(__xludf.DUMMYFUNCTION("IMPORTRANGE(""https://docs.google.com/spreadsheets/d/1SX6NBoVAgQJ6U1MVXOaj8PK2l7WJ3RER9xtqwdhxkhw/edit?usp=sharing"",""เพชรบุรี!J276"")"),20)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IFERROR(__xludf.DUMMYFUNCTION("IMPORTRANGE(""https://docs.google.com/spreadsheets/d/1SX6NBoVAgQJ6U1MVXOaj8PK2l7WJ3RER9xtqwdhxkhw/edit?usp=sharing"",""เพชรบุรี!L277"")"),0)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IFERROR(__xludf.DUMMYFUNCTION("IMPORTRANGE(""https://docs.google.com/spreadsheets/d/1SX6NBoVAgQJ6U1MVXOaj8PK2l7WJ3RER9xtqwdhxkhw/edit?usp=sharing"",""เพชรบุรี!M277"")"),0)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IFERROR(__xludf.DUMMYFUNCTION("IMPORTRANGE(""https://docs.google.com/spreadsheets/d/1SX6NBoVAgQJ6U1MVXOaj8PK2l7WJ3RER9xtqwdhxkhw/edit?usp=sharing"",""เพชรบุรี!L278"")"),207560)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IFERROR(__xludf.DUMMYFUNCTION("IMPORTRANGE(""https://docs.google.com/spreadsheets/d/1SX6NBoVAgQJ6U1MVXOaj8PK2l7WJ3RER9xtqwdhxkhw/edit?usp=sharing"",""เพชรบุรี!M278"")"),96910)</f>
        <v>96910</v>
      </c>
      <c r="O383" s="165">
        <f t="shared" ca="1" si="109"/>
        <v>46.690113702062057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IFERROR(__xludf.DUMMYFUNCTION("IMPORTRANGE(""https://docs.google.com/spreadsheets/d/1SX6NBoVAgQJ6U1MVXOaj8PK2l7WJ3RER9xtqwdhxkhw/edit?usp=sharing"",""เพชรบุรี!L279"")"),0)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IFERROR(__xludf.DUMMYFUNCTION("IMPORTRANGE(""https://docs.google.com/spreadsheets/d/1SX6NBoVAgQJ6U1MVXOaj8PK2l7WJ3RER9xtqwdhxkhw/edit?usp=sharing"",""เพชรบุรี!M279"")"),0)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IFERROR(__xludf.DUMMYFUNCTION("IMPORTRANGE(""https://docs.google.com/spreadsheets/d/1SX6NBoVAgQJ6U1MVXOaj8PK2l7WJ3RER9xtqwdhxkhw/edit?usp=sharing"",""เพชรบุรี!L280"")"),207560)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IFERROR(__xludf.DUMMYFUNCTION("IMPORTRANGE(""https://docs.google.com/spreadsheets/d/1SX6NBoVAgQJ6U1MVXOaj8PK2l7WJ3RER9xtqwdhxkhw/edit?usp=sharing"",""เพชรบุรี!M280"")"),96910)</f>
        <v>96910</v>
      </c>
      <c r="O385" s="169">
        <f t="shared" ca="1" si="109"/>
        <v>46.690113702062057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IFERROR(__xludf.DUMMYFUNCTION("IMPORTRANGE(""https://docs.google.com/spreadsheets/d/1SX6NBoVAgQJ6U1MVXOaj8PK2l7WJ3RER9xtqwdhxkhw/edit?usp=sharing"",""เพชรบุรี!M281"")"),66030)</f>
        <v>66030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IFERROR(__xludf.DUMMYFUNCTION("IMPORTRANGE(""https://docs.google.com/spreadsheets/d/1SX6NBoVAgQJ6U1MVXOaj8PK2l7WJ3RER9xtqwdhxkhw/edit?usp=sharing"",""เพชรบุรี!M282"")"),30880)</f>
        <v>30880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IFERROR(__xludf.DUMMYFUNCTION("IMPORTRANGE(""https://docs.google.com/spreadsheets/d/1SX6NBoVAgQJ6U1MVXOaj8PK2l7WJ3RER9xtqwdhxkhw/edit?usp=sharing"",""เพชรบุรี!M283"")"),0)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IFERROR(__xludf.DUMMYFUNCTION("IMPORTRANGE(""https://docs.google.com/spreadsheets/d/1SX6NBoVAgQJ6U1MVXOaj8PK2l7WJ3RER9xtqwdhxkhw/edit?usp=sharing"",""เพชรบุรี!M284"")"),0)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IFERROR(__xludf.DUMMYFUNCTION("IMPORTRANGE(""https://docs.google.com/spreadsheets/d/1SX6NBoVAgQJ6U1MVXOaj8PK2l7WJ3RER9xtqwdhxkhw/edit?usp=sharing"",""เพชรบุรี!J286"")"),0)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IFERROR(__xludf.DUMMYFUNCTION("IMPORTRANGE(""https://docs.google.com/spreadsheets/d/1SX6NBoVAgQJ6U1MVXOaj8PK2l7WJ3RER9xtqwdhxkhw/edit?usp=sharing"",""เพชรบุรี!J287"")"),1)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IFERROR(__xludf.DUMMYFUNCTION("IMPORTRANGE(""https://docs.google.com/spreadsheets/d/1SX6NBoVAgQJ6U1MVXOaj8PK2l7WJ3RER9xtqwdhxkhw/edit?usp=sharing"",""เพชรบุรี!J288"")"),1)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IFERROR(__xludf.DUMMYFUNCTION("IMPORTRANGE(""https://docs.google.com/spreadsheets/d/1SX6NBoVAgQJ6U1MVXOaj8PK2l7WJ3RER9xtqwdhxkhw/edit?usp=sharing"",""เพชรบุรี!J289"")"),1)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IFERROR(__xludf.DUMMYFUNCTION("IMPORTRANGE(""https://docs.google.com/spreadsheets/d/1SX6NBoVAgQJ6U1MVXOaj8PK2l7WJ3RER9xtqwdhxkhw/edit?usp=sharing"",""เพชรบุรี!I291"")"),20)</f>
        <v>20</v>
      </c>
      <c r="J396" s="198">
        <f ca="1">IFERROR(__xludf.DUMMYFUNCTION("IMPORTRANGE(""https://docs.google.com/spreadsheets/d/1SX6NBoVAgQJ6U1MVXOaj8PK2l7WJ3RER9xtqwdhxkhw/edit?usp=sharing"",""เพชรบุรี!J291"")"),20)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IFERROR(__xludf.DUMMYFUNCTION("IMPORTRANGE(""https://docs.google.com/spreadsheets/d/1SX6NBoVAgQJ6U1MVXOaj8PK2l7WJ3RER9xtqwdhxkhw/edit?usp=sharing"",""เพชรบุรี!I292"")"),200)</f>
        <v>200</v>
      </c>
      <c r="J397" s="198">
        <f ca="1">IFERROR(__xludf.DUMMYFUNCTION("IMPORTRANGE(""https://docs.google.com/spreadsheets/d/1SX6NBoVAgQJ6U1MVXOaj8PK2l7WJ3RER9xtqwdhxkhw/edit?usp=sharing"",""เพชรบุรี!J292"")"),53.25)</f>
        <v>53.25</v>
      </c>
      <c r="K397" s="163">
        <f t="shared" ca="1" si="110"/>
        <v>26.625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IFERROR(__xludf.DUMMYFUNCTION("IMPORTRANGE(""https://docs.google.com/spreadsheets/d/1SX6NBoVAgQJ6U1MVXOaj8PK2l7WJ3RER9xtqwdhxkhw/edit?usp=sharing"",""เพชรบุรี!I293"")"),20)</f>
        <v>20</v>
      </c>
      <c r="J398" s="198">
        <f ca="1">IFERROR(__xludf.DUMMYFUNCTION("IMPORTRANGE(""https://docs.google.com/spreadsheets/d/1SX6NBoVAgQJ6U1MVXOaj8PK2l7WJ3RER9xtqwdhxkhw/edit?usp=sharing"",""เพชรบุรี!J293"")"),22)</f>
        <v>22</v>
      </c>
      <c r="K398" s="163">
        <f t="shared" ca="1" si="110"/>
        <v>110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IFERROR(__xludf.DUMMYFUNCTION("IMPORTRANGE(""https://docs.google.com/spreadsheets/d/1SX6NBoVAgQJ6U1MVXOaj8PK2l7WJ3RER9xtqwdhxkhw/edit?usp=sharing"",""เพชรบุรี!J294"")"),0)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IFERROR(__xludf.DUMMYFUNCTION("IMPORTRANGE(""https://docs.google.com/spreadsheets/d/1SX6NBoVAgQJ6U1MVXOaj8PK2l7WJ3RER9xtqwdhxkhw/edit?usp=sharing"",""เพชรบุรี!J295"")"),0)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IFERROR(__xludf.DUMMYFUNCTION("IMPORTRANGE(""https://docs.google.com/spreadsheets/d/1SX6NBoVAgQJ6U1MVXOaj8PK2l7WJ3RER9xtqwdhxkhw/edit?usp=sharing"",""เพชรบุรี!I296"")"),180)</f>
        <v>180</v>
      </c>
      <c r="J401" s="371">
        <f ca="1">IFERROR(__xludf.DUMMYFUNCTION("IMPORTRANGE(""https://docs.google.com/spreadsheets/d/1SX6NBoVAgQJ6U1MVXOaj8PK2l7WJ3RER9xtqwdhxkhw/edit?usp=sharing"",""เพชรบุรี!J296"")"),180)</f>
        <v>180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IFERROR(__xludf.DUMMYFUNCTION("IMPORTRANGE(""https://docs.google.com/spreadsheets/d/1SX6NBoVAgQJ6U1MVXOaj8PK2l7WJ3RER9xtqwdhxkhw/edit?usp=sharing"",""เพชรบุรี!L296"")"),207000)</f>
        <v>207000</v>
      </c>
      <c r="M401" s="373"/>
      <c r="N401" s="373">
        <f ca="1">IFERROR(__xludf.DUMMYFUNCTION("IMPORTRANGE(""https://docs.google.com/spreadsheets/d/1SX6NBoVAgQJ6U1MVXOaj8PK2l7WJ3RER9xtqwdhxkhw/edit?usp=sharing"",""เพชรบุรี!M296"")"),94355)</f>
        <v>94355</v>
      </c>
      <c r="O401" s="373">
        <f ca="1">+IF(L401&gt;0,N401*100/L401,0)</f>
        <v>45.582125603864732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IFERROR(__xludf.DUMMYFUNCTION("IMPORTRANGE(""https://docs.google.com/spreadsheets/d/1SX6NBoVAgQJ6U1MVXOaj8PK2l7WJ3RER9xtqwdhxkhw/edit?usp=sharing"",""เพชรบุรี!I297"")"),60)</f>
        <v>60</v>
      </c>
      <c r="J402" s="371">
        <f ca="1">IFERROR(__xludf.DUMMYFUNCTION("IMPORTRANGE(""https://docs.google.com/spreadsheets/d/1SX6NBoVAgQJ6U1MVXOaj8PK2l7WJ3RER9xtqwdhxkhw/edit?usp=sharing"",""เพชรบุรี!J297"")"),60)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IFERROR(__xludf.DUMMYFUNCTION("IMPORTRANGE(""https://docs.google.com/spreadsheets/d/1SX6NBoVAgQJ6U1MVXOaj8PK2l7WJ3RER9xtqwdhxkhw/edit?usp=sharing"",""เพชรบุรี!L298"")"),0)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IFERROR(__xludf.DUMMYFUNCTION("IMPORTRANGE(""https://docs.google.com/spreadsheets/d/1SX6NBoVAgQJ6U1MVXOaj8PK2l7WJ3RER9xtqwdhxkhw/edit?usp=sharing"",""เพชรบุรี!M298"")"),0)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IFERROR(__xludf.DUMMYFUNCTION("IMPORTRANGE(""https://docs.google.com/spreadsheets/d/1SX6NBoVAgQJ6U1MVXOaj8PK2l7WJ3RER9xtqwdhxkhw/edit?usp=sharing"",""เพชรบุรี!L299"")"),207000)</f>
        <v>207000</v>
      </c>
      <c r="M404" s="165"/>
      <c r="N404" s="169">
        <f ca="1">IFERROR(__xludf.DUMMYFUNCTION("IMPORTRANGE(""https://docs.google.com/spreadsheets/d/1SX6NBoVAgQJ6U1MVXOaj8PK2l7WJ3RER9xtqwdhxkhw/edit?usp=sharing"",""เพชรบุรี!M299"")"),94355)</f>
        <v>94355</v>
      </c>
      <c r="O404" s="169">
        <f t="shared" ca="1" si="112"/>
        <v>45.582125603864732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IFERROR(__xludf.DUMMYFUNCTION("IMPORTRANGE(""https://docs.google.com/spreadsheets/d/1SX6NBoVAgQJ6U1MVXOaj8PK2l7WJ3RER9xtqwdhxkhw/edit?usp=sharing"",""เพชรบุรี!L300"")"),0)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IFERROR(__xludf.DUMMYFUNCTION("IMPORTRANGE(""https://docs.google.com/spreadsheets/d/1SX6NBoVAgQJ6U1MVXOaj8PK2l7WJ3RER9xtqwdhxkhw/edit?usp=sharing"",""เพชรบุรี!M300"")"),0)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IFERROR(__xludf.DUMMYFUNCTION("IMPORTRANGE(""https://docs.google.com/spreadsheets/d/1SX6NBoVAgQJ6U1MVXOaj8PK2l7WJ3RER9xtqwdhxkhw/edit?usp=sharing"",""เพชรบุรี!L301"")"),207000)</f>
        <v>207000</v>
      </c>
      <c r="M406" s="169"/>
      <c r="N406" s="169">
        <f ca="1">IFERROR(__xludf.DUMMYFUNCTION("IMPORTRANGE(""https://docs.google.com/spreadsheets/d/1SX6NBoVAgQJ6U1MVXOaj8PK2l7WJ3RER9xtqwdhxkhw/edit?usp=sharing"",""เพชรบุรี!M301"")"),94355)</f>
        <v>94355</v>
      </c>
      <c r="O406" s="169">
        <f t="shared" ca="1" si="112"/>
        <v>45.582125603864732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IFERROR(__xludf.DUMMYFUNCTION("IMPORTRANGE(""https://docs.google.com/spreadsheets/d/1SX6NBoVAgQJ6U1MVXOaj8PK2l7WJ3RER9xtqwdhxkhw/edit?usp=sharing"",""เพชรบุรี!M302"")"),94355)</f>
        <v>94355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IFERROR(__xludf.DUMMYFUNCTION("IMPORTRANGE(""https://docs.google.com/spreadsheets/d/1SX6NBoVAgQJ6U1MVXOaj8PK2l7WJ3RER9xtqwdhxkhw/edit?usp=sharing"",""เพชรบุรี!M303"")"),0)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IFERROR(__xludf.DUMMYFUNCTION("IMPORTRANGE(""https://docs.google.com/spreadsheets/d/1SX6NBoVAgQJ6U1MVXOaj8PK2l7WJ3RER9xtqwdhxkhw/edit?usp=sharing"",""เพชรบุรี!M304"")"),0)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IFERROR(__xludf.DUMMYFUNCTION("IMPORTRANGE(""https://docs.google.com/spreadsheets/d/1SX6NBoVAgQJ6U1MVXOaj8PK2l7WJ3RER9xtqwdhxkhw/edit?usp=sharing"",""เพชรบุรี!M305"")"),0)</f>
        <v>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IFERROR(__xludf.DUMMYFUNCTION("IMPORTRANGE(""https://docs.google.com/spreadsheets/d/1SX6NBoVAgQJ6U1MVXOaj8PK2l7WJ3RER9xtqwdhxkhw/edit?usp=sharing"",""เพชรบุรี!J307"")"),0)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IFERROR(__xludf.DUMMYFUNCTION("IMPORTRANGE(""https://docs.google.com/spreadsheets/d/1SX6NBoVAgQJ6U1MVXOaj8PK2l7WJ3RER9xtqwdhxkhw/edit?usp=sharing"",""เพชรบุรี!J308"")"),0)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IFERROR(__xludf.DUMMYFUNCTION("IMPORTRANGE(""https://docs.google.com/spreadsheets/d/1SX6NBoVAgQJ6U1MVXOaj8PK2l7WJ3RER9xtqwdhxkhw/edit?usp=sharing"",""เพชรบุรี!J309"")"),1)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IFERROR(__xludf.DUMMYFUNCTION("IMPORTRANGE(""https://docs.google.com/spreadsheets/d/1SX6NBoVAgQJ6U1MVXOaj8PK2l7WJ3RER9xtqwdhxkhw/edit?usp=sharing"",""เพชรบุรี!J310"")"),0)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IFERROR(__xludf.DUMMYFUNCTION("IMPORTRANGE(""https://docs.google.com/spreadsheets/d/1SX6NBoVAgQJ6U1MVXOaj8PK2l7WJ3RER9xtqwdhxkhw/edit?usp=sharing"",""เพชรบุรี!I311"")"),60)</f>
        <v>60</v>
      </c>
      <c r="J416" s="201">
        <f ca="1">IFERROR(__xludf.DUMMYFUNCTION("IMPORTRANGE(""https://docs.google.com/spreadsheets/d/1SX6NBoVAgQJ6U1MVXOaj8PK2l7WJ3RER9xtqwdhxkhw/edit?usp=sharing"",""เพชรบุรี!J311"")"),60)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IFERROR(__xludf.DUMMYFUNCTION("IMPORTRANGE(""https://docs.google.com/spreadsheets/d/1SX6NBoVAgQJ6U1MVXOaj8PK2l7WJ3RER9xtqwdhxkhw/edit?usp=sharing"",""เพชรบุรี!I312"")"),25)</f>
        <v>25</v>
      </c>
      <c r="J417" s="392">
        <f ca="1">IFERROR(__xludf.DUMMYFUNCTION("IMPORTRANGE(""https://docs.google.com/spreadsheets/d/1SX6NBoVAgQJ6U1MVXOaj8PK2l7WJ3RER9xtqwdhxkhw/edit?usp=sharing"",""เพชรบุรี!J312"")"),25)</f>
        <v>25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IFERROR(__xludf.DUMMYFUNCTION("IMPORTRANGE(""https://docs.google.com/spreadsheets/d/1SX6NBoVAgQJ6U1MVXOaj8PK2l7WJ3RER9xtqwdhxkhw/edit?usp=sharing"",""เพชรบุรี!I313"")"),75)</f>
        <v>75</v>
      </c>
      <c r="J418" s="393">
        <f ca="1">IFERROR(__xludf.DUMMYFUNCTION("IMPORTRANGE(""https://docs.google.com/spreadsheets/d/1SX6NBoVAgQJ6U1MVXOaj8PK2l7WJ3RER9xtqwdhxkhw/edit?usp=sharing"",""เพชรบุรี!J313"")"),75)</f>
        <v>75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IFERROR(__xludf.DUMMYFUNCTION("IMPORTRANGE(""https://docs.google.com/spreadsheets/d/1SX6NBoVAgQJ6U1MVXOaj8PK2l7WJ3RER9xtqwdhxkhw/edit?usp=sharing"",""เพชรบุรี!I314"")"),25)</f>
        <v>25</v>
      </c>
      <c r="J419" s="394">
        <f ca="1">IFERROR(__xludf.DUMMYFUNCTION("IMPORTRANGE(""https://docs.google.com/spreadsheets/d/1SX6NBoVAgQJ6U1MVXOaj8PK2l7WJ3RER9xtqwdhxkhw/edit?usp=sharing"",""เพชรบุรี!J314"")"),25)</f>
        <v>25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IFERROR(__xludf.DUMMYFUNCTION("IMPORTRANGE(""https://docs.google.com/spreadsheets/d/1SX6NBoVAgQJ6U1MVXOaj8PK2l7WJ3RER9xtqwdhxkhw/edit?usp=sharing"",""เพชรบุรี!I315"")"),25)</f>
        <v>25</v>
      </c>
      <c r="J420" s="394">
        <f ca="1">IFERROR(__xludf.DUMMYFUNCTION("IMPORTRANGE(""https://docs.google.com/spreadsheets/d/1SX6NBoVAgQJ6U1MVXOaj8PK2l7WJ3RER9xtqwdhxkhw/edit?usp=sharing"",""เพชรบุรี!J315"")"),25)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IFERROR(__xludf.DUMMYFUNCTION("IMPORTRANGE(""https://docs.google.com/spreadsheets/d/1SX6NBoVAgQJ6U1MVXOaj8PK2l7WJ3RER9xtqwdhxkhw/edit?usp=sharing"",""เพชรบุรี!I316"")"),24)</f>
        <v>24</v>
      </c>
      <c r="J421" s="392">
        <f ca="1">IFERROR(__xludf.DUMMYFUNCTION("IMPORTRANGE(""https://docs.google.com/spreadsheets/d/1SX6NBoVAgQJ6U1MVXOaj8PK2l7WJ3RER9xtqwdhxkhw/edit?usp=sharing"",""เพชรบุรี!J316"")"),24)</f>
        <v>24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IFERROR(__xludf.DUMMYFUNCTION("IMPORTRANGE(""https://docs.google.com/spreadsheets/d/1SX6NBoVAgQJ6U1MVXOaj8PK2l7WJ3RER9xtqwdhxkhw/edit?usp=sharing"",""เพชรบุรี!I317"")"),72)</f>
        <v>72</v>
      </c>
      <c r="J422" s="393">
        <f ca="1">IFERROR(__xludf.DUMMYFUNCTION("IMPORTRANGE(""https://docs.google.com/spreadsheets/d/1SX6NBoVAgQJ6U1MVXOaj8PK2l7WJ3RER9xtqwdhxkhw/edit?usp=sharing"",""เพชรบุรี!J317"")"),72)</f>
        <v>72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IFERROR(__xludf.DUMMYFUNCTION("IMPORTRANGE(""https://docs.google.com/spreadsheets/d/1SX6NBoVAgQJ6U1MVXOaj8PK2l7WJ3RER9xtqwdhxkhw/edit?usp=sharing"",""เพชรบุรี!I318"")"),24)</f>
        <v>24</v>
      </c>
      <c r="J423" s="394">
        <f ca="1">IFERROR(__xludf.DUMMYFUNCTION("IMPORTRANGE(""https://docs.google.com/spreadsheets/d/1SX6NBoVAgQJ6U1MVXOaj8PK2l7WJ3RER9xtqwdhxkhw/edit?usp=sharing"",""เพชรบุรี!J318"")"),24)</f>
        <v>24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IFERROR(__xludf.DUMMYFUNCTION("IMPORTRANGE(""https://docs.google.com/spreadsheets/d/1SX6NBoVAgQJ6U1MVXOaj8PK2l7WJ3RER9xtqwdhxkhw/edit?usp=sharing"",""เพชรบุรี!I319"")"),24)</f>
        <v>24</v>
      </c>
      <c r="J424" s="394">
        <f ca="1">IFERROR(__xludf.DUMMYFUNCTION("IMPORTRANGE(""https://docs.google.com/spreadsheets/d/1SX6NBoVAgQJ6U1MVXOaj8PK2l7WJ3RER9xtqwdhxkhw/edit?usp=sharing"",""เพชรบุรี!J319"")"),24)</f>
        <v>24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IFERROR(__xludf.DUMMYFUNCTION("IMPORTRANGE(""https://docs.google.com/spreadsheets/d/1SX6NBoVAgQJ6U1MVXOaj8PK2l7WJ3RER9xtqwdhxkhw/edit?usp=sharing"",""เพชรบุรี!I320"")"),24)</f>
        <v>24</v>
      </c>
      <c r="J425" s="394">
        <f ca="1">IFERROR(__xludf.DUMMYFUNCTION("IMPORTRANGE(""https://docs.google.com/spreadsheets/d/1SX6NBoVAgQJ6U1MVXOaj8PK2l7WJ3RER9xtqwdhxkhw/edit?usp=sharing"",""เพชรบุรี!J320"")"),24)</f>
        <v>24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IFERROR(__xludf.DUMMYFUNCTION("IMPORTRANGE(""https://docs.google.com/spreadsheets/d/1SX6NBoVAgQJ6U1MVXOaj8PK2l7WJ3RER9xtqwdhxkhw/edit?usp=sharing"",""เพชรบุรี!I321"")"),11)</f>
        <v>11</v>
      </c>
      <c r="J426" s="392">
        <f ca="1">IFERROR(__xludf.DUMMYFUNCTION("IMPORTRANGE(""https://docs.google.com/spreadsheets/d/1SX6NBoVAgQJ6U1MVXOaj8PK2l7WJ3RER9xtqwdhxkhw/edit?usp=sharing"",""เพชรบุรี!J321"")"),11)</f>
        <v>11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IFERROR(__xludf.DUMMYFUNCTION("IMPORTRANGE(""https://docs.google.com/spreadsheets/d/1SX6NBoVAgQJ6U1MVXOaj8PK2l7WJ3RER9xtqwdhxkhw/edit?usp=sharing"",""เพชรบุรี!I322"")"),33)</f>
        <v>33</v>
      </c>
      <c r="J427" s="393">
        <f ca="1">IFERROR(__xludf.DUMMYFUNCTION("IMPORTRANGE(""https://docs.google.com/spreadsheets/d/1SX6NBoVAgQJ6U1MVXOaj8PK2l7WJ3RER9xtqwdhxkhw/edit?usp=sharing"",""เพชรบุรี!J322"")"),33)</f>
        <v>33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IFERROR(__xludf.DUMMYFUNCTION("IMPORTRANGE(""https://docs.google.com/spreadsheets/d/1SX6NBoVAgQJ6U1MVXOaj8PK2l7WJ3RER9xtqwdhxkhw/edit?usp=sharing"",""เพชรบุรี!I323"")"),11)</f>
        <v>11</v>
      </c>
      <c r="J428" s="394">
        <f ca="1">IFERROR(__xludf.DUMMYFUNCTION("IMPORTRANGE(""https://docs.google.com/spreadsheets/d/1SX6NBoVAgQJ6U1MVXOaj8PK2l7WJ3RER9xtqwdhxkhw/edit?usp=sharing"",""เพชรบุรี!J323"")"),11)</f>
        <v>11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IFERROR(__xludf.DUMMYFUNCTION("IMPORTRANGE(""https://docs.google.com/spreadsheets/d/1SX6NBoVAgQJ6U1MVXOaj8PK2l7WJ3RER9xtqwdhxkhw/edit?usp=sharing"",""เพชรบุรี!I324"")"),11)</f>
        <v>11</v>
      </c>
      <c r="J429" s="394">
        <f ca="1">IFERROR(__xludf.DUMMYFUNCTION("IMPORTRANGE(""https://docs.google.com/spreadsheets/d/1SX6NBoVAgQJ6U1MVXOaj8PK2l7WJ3RER9xtqwdhxkhw/edit?usp=sharing"",""เพชรบุรี!J324"")"),11)</f>
        <v>11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IFERROR(__xludf.DUMMYFUNCTION("IMPORTRANGE(""https://docs.google.com/spreadsheets/d/1SX6NBoVAgQJ6U1MVXOaj8PK2l7WJ3RER9xtqwdhxkhw/edit?usp=sharing"",""เพชรบุรี!I325"")"),49)</f>
        <v>49</v>
      </c>
      <c r="J430" s="392">
        <f ca="1">IFERROR(__xludf.DUMMYFUNCTION("IMPORTRANGE(""https://docs.google.com/spreadsheets/d/1SX6NBoVAgQJ6U1MVXOaj8PK2l7WJ3RER9xtqwdhxkhw/edit?usp=sharing"",""เพชรบุรี!J325"")"),0)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IFERROR(__xludf.DUMMYFUNCTION("IMPORTRANGE(""https://docs.google.com/spreadsheets/d/1SX6NBoVAgQJ6U1MVXOaj8PK2l7WJ3RER9xtqwdhxkhw/edit?usp=sharing"",""เพชรบุรี!I326"")"),25)</f>
        <v>25</v>
      </c>
      <c r="J431" s="394">
        <f ca="1">IFERROR(__xludf.DUMMYFUNCTION("IMPORTRANGE(""https://docs.google.com/spreadsheets/d/1SX6NBoVAgQJ6U1MVXOaj8PK2l7WJ3RER9xtqwdhxkhw/edit?usp=sharing"",""เพชรบุรี!J326"")"),0)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IFERROR(__xludf.DUMMYFUNCTION("IMPORTRANGE(""https://docs.google.com/spreadsheets/d/1SX6NBoVAgQJ6U1MVXOaj8PK2l7WJ3RER9xtqwdhxkhw/edit?usp=sharing"",""เพชรบุรี!I327"")"),24)</f>
        <v>24</v>
      </c>
      <c r="J432" s="394">
        <f ca="1">IFERROR(__xludf.DUMMYFUNCTION("IMPORTRANGE(""https://docs.google.com/spreadsheets/d/1SX6NBoVAgQJ6U1MVXOaj8PK2l7WJ3RER9xtqwdhxkhw/edit?usp=sharing"",""เพชรบุรี!J327"")"),0)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IFERROR(__xludf.DUMMYFUNCTION("IMPORTRANGE(""https://docs.google.com/spreadsheets/d/1SX6NBoVAgQJ6U1MVXOaj8PK2l7WJ3RER9xtqwdhxkhw/edit?usp=sharing"",""เพชรบุรี!J328"")"),0)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IFERROR(__xludf.DUMMYFUNCTION("IMPORTRANGE(""https://docs.google.com/spreadsheets/d/1SX6NBoVAgQJ6U1MVXOaj8PK2l7WJ3RER9xtqwdhxkhw/edit?usp=sharing"",""เพชรบุรี!J329"")"),0)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IFERROR(__xludf.DUMMYFUNCTION("IMPORTRANGE(""https://docs.google.com/spreadsheets/d/1SX6NBoVAgQJ6U1MVXOaj8PK2l7WJ3RER9xtqwdhxkhw/edit?usp=sharing"",""เพชรบุรี!I330"")"),50)</f>
        <v>50</v>
      </c>
      <c r="J435" s="410">
        <f ca="1">IFERROR(__xludf.DUMMYFUNCTION("IMPORTRANGE(""https://docs.google.com/spreadsheets/d/1SX6NBoVAgQJ6U1MVXOaj8PK2l7WJ3RER9xtqwdhxkhw/edit?usp=sharing"",""เพชรบุรี!J330"")"),50)</f>
        <v>50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IFERROR(__xludf.DUMMYFUNCTION("IMPORTRANGE(""https://docs.google.com/spreadsheets/d/1SX6NBoVAgQJ6U1MVXOaj8PK2l7WJ3RER9xtqwdhxkhw/edit?usp=sharing"",""เพชรบุรี!L330"")"),166400)</f>
        <v>166400</v>
      </c>
      <c r="M435" s="412"/>
      <c r="N435" s="412">
        <f ca="1">IFERROR(__xludf.DUMMYFUNCTION("IMPORTRANGE(""https://docs.google.com/spreadsheets/d/1SX6NBoVAgQJ6U1MVXOaj8PK2l7WJ3RER9xtqwdhxkhw/edit?usp=sharing"",""เพชรบุรี!M330"")"),128479)</f>
        <v>128479</v>
      </c>
      <c r="O435" s="412">
        <f t="shared" ref="O435:O439" ca="1" si="114">+IF(L435&gt;0,N435*100/L435,0)</f>
        <v>77.2109375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IFERROR(__xludf.DUMMYFUNCTION("IMPORTRANGE(""https://docs.google.com/spreadsheets/d/1SX6NBoVAgQJ6U1MVXOaj8PK2l7WJ3RER9xtqwdhxkhw/edit?usp=sharing"",""เพชรบุรี!L331"")"),0)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IFERROR(__xludf.DUMMYFUNCTION("IMPORTRANGE(""https://docs.google.com/spreadsheets/d/1SX6NBoVAgQJ6U1MVXOaj8PK2l7WJ3RER9xtqwdhxkhw/edit?usp=sharing"",""เพชรบุรี!M331"")"),0)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IFERROR(__xludf.DUMMYFUNCTION("IMPORTRANGE(""https://docs.google.com/spreadsheets/d/1SX6NBoVAgQJ6U1MVXOaj8PK2l7WJ3RER9xtqwdhxkhw/edit?usp=sharing"",""เพชรบุรี!L332"")"),166400)</f>
        <v>166400</v>
      </c>
      <c r="M437" s="165"/>
      <c r="N437" s="169">
        <f ca="1">IFERROR(__xludf.DUMMYFUNCTION("IMPORTRANGE(""https://docs.google.com/spreadsheets/d/1SX6NBoVAgQJ6U1MVXOaj8PK2l7WJ3RER9xtqwdhxkhw/edit?usp=sharing"",""เพชรบุรี!M332"")"),128479)</f>
        <v>128479</v>
      </c>
      <c r="O437" s="169">
        <f t="shared" ca="1" si="114"/>
        <v>77.2109375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IFERROR(__xludf.DUMMYFUNCTION("IMPORTRANGE(""https://docs.google.com/spreadsheets/d/1SX6NBoVAgQJ6U1MVXOaj8PK2l7WJ3RER9xtqwdhxkhw/edit?usp=sharing"",""เพชรบุรี!L333"")"),0)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IFERROR(__xludf.DUMMYFUNCTION("IMPORTRANGE(""https://docs.google.com/spreadsheets/d/1SX6NBoVAgQJ6U1MVXOaj8PK2l7WJ3RER9xtqwdhxkhw/edit?usp=sharing"",""เพชรบุรี!M333"")"),0)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IFERROR(__xludf.DUMMYFUNCTION("IMPORTRANGE(""https://docs.google.com/spreadsheets/d/1SX6NBoVAgQJ6U1MVXOaj8PK2l7WJ3RER9xtqwdhxkhw/edit?usp=sharing"",""เพชรบุรี!L334"")"),166400)</f>
        <v>166400</v>
      </c>
      <c r="M439" s="169"/>
      <c r="N439" s="169">
        <f ca="1">IFERROR(__xludf.DUMMYFUNCTION("IMPORTRANGE(""https://docs.google.com/spreadsheets/d/1SX6NBoVAgQJ6U1MVXOaj8PK2l7WJ3RER9xtqwdhxkhw/edit?usp=sharing"",""เพชรบุรี!M334"")"),128479)</f>
        <v>128479</v>
      </c>
      <c r="O439" s="169">
        <f t="shared" ca="1" si="114"/>
        <v>77.2109375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IFERROR(__xludf.DUMMYFUNCTION("IMPORTRANGE(""https://docs.google.com/spreadsheets/d/1SX6NBoVAgQJ6U1MVXOaj8PK2l7WJ3RER9xtqwdhxkhw/edit?usp=sharing"",""เพชรบุรี!M335"")"),128479)</f>
        <v>128479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IFERROR(__xludf.DUMMYFUNCTION("IMPORTRANGE(""https://docs.google.com/spreadsheets/d/1SX6NBoVAgQJ6U1MVXOaj8PK2l7WJ3RER9xtqwdhxkhw/edit?usp=sharing"",""เพชรบุรี!M336"")"),0)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IFERROR(__xludf.DUMMYFUNCTION("IMPORTRANGE(""https://docs.google.com/spreadsheets/d/1SX6NBoVAgQJ6U1MVXOaj8PK2l7WJ3RER9xtqwdhxkhw/edit?usp=sharing"",""เพชรบุรี!M337"")"),0)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IFERROR(__xludf.DUMMYFUNCTION("IMPORTRANGE(""https://docs.google.com/spreadsheets/d/1SX6NBoVAgQJ6U1MVXOaj8PK2l7WJ3RER9xtqwdhxkhw/edit?usp=sharing"",""เพชรบุรี!M338"")"),0)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IFERROR(__xludf.DUMMYFUNCTION("IMPORTRANGE(""https://docs.google.com/spreadsheets/d/1SX6NBoVAgQJ6U1MVXOaj8PK2l7WJ3RER9xtqwdhxkhw/edit?usp=sharing"",""เพชรบุรี!J340"")"),0)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IFERROR(__xludf.DUMMYFUNCTION("IMPORTRANGE(""https://docs.google.com/spreadsheets/d/1SX6NBoVAgQJ6U1MVXOaj8PK2l7WJ3RER9xtqwdhxkhw/edit?usp=sharing"",""เพชรบุรี!J341"")"),1)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IFERROR(__xludf.DUMMYFUNCTION("IMPORTRANGE(""https://docs.google.com/spreadsheets/d/1SX6NBoVAgQJ6U1MVXOaj8PK2l7WJ3RER9xtqwdhxkhw/edit?usp=sharing"",""เพชรบุรี!J342"")"),1)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IFERROR(__xludf.DUMMYFUNCTION("IMPORTRANGE(""https://docs.google.com/spreadsheets/d/1SX6NBoVAgQJ6U1MVXOaj8PK2l7WJ3RER9xtqwdhxkhw/edit?usp=sharing"",""เพชรบุรี!J343"")"),1)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IFERROR(__xludf.DUMMYFUNCTION("IMPORTRANGE(""https://docs.google.com/spreadsheets/d/1SX6NBoVAgQJ6U1MVXOaj8PK2l7WJ3RER9xtqwdhxkhw/edit?usp=sharing"",""เพชรบุรี!I344"")"),50)</f>
        <v>50</v>
      </c>
      <c r="J449" s="201">
        <f ca="1">IFERROR(__xludf.DUMMYFUNCTION("IMPORTRANGE(""https://docs.google.com/spreadsheets/d/1SX6NBoVAgQJ6U1MVXOaj8PK2l7WJ3RER9xtqwdhxkhw/edit?usp=sharing"",""เพชรบุรี!J344"")"),50)</f>
        <v>50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IFERROR(__xludf.DUMMYFUNCTION("IMPORTRANGE(""https://docs.google.com/spreadsheets/d/1SX6NBoVAgQJ6U1MVXOaj8PK2l7WJ3RER9xtqwdhxkhw/edit?usp=sharing"",""เพชรบุรี!I345"")"),50)</f>
        <v>50</v>
      </c>
      <c r="J450" s="189">
        <f ca="1">IFERROR(__xludf.DUMMYFUNCTION("IMPORTRANGE(""https://docs.google.com/spreadsheets/d/1SX6NBoVAgQJ6U1MVXOaj8PK2l7WJ3RER9xtqwdhxkhw/edit?usp=sharing"",""เพชรบุรี!J345"")"),50)</f>
        <v>50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IFERROR(__xludf.DUMMYFUNCTION("IMPORTRANGE(""https://docs.google.com/spreadsheets/d/1SX6NBoVAgQJ6U1MVXOaj8PK2l7WJ3RER9xtqwdhxkhw/edit?usp=sharing"",""เพชรบุรี!I346"")"),0)</f>
        <v>0</v>
      </c>
      <c r="J451" s="188">
        <f ca="1">IFERROR(__xludf.DUMMYFUNCTION("IMPORTRANGE(""https://docs.google.com/spreadsheets/d/1SX6NBoVAgQJ6U1MVXOaj8PK2l7WJ3RER9xtqwdhxkhw/edit?usp=sharing"",""เพชรบุรี!J346"")"),0)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IFERROR(__xludf.DUMMYFUNCTION("IMPORTRANGE(""https://docs.google.com/spreadsheets/d/1SX6NBoVAgQJ6U1MVXOaj8PK2l7WJ3RER9xtqwdhxkhw/edit?usp=sharing"",""เพชรบุรี!I347"")"),0)</f>
        <v>0</v>
      </c>
      <c r="J452" s="188">
        <f ca="1">IFERROR(__xludf.DUMMYFUNCTION("IMPORTRANGE(""https://docs.google.com/spreadsheets/d/1SX6NBoVAgQJ6U1MVXOaj8PK2l7WJ3RER9xtqwdhxkhw/edit?usp=sharing"",""เพชรบุรี!J347"")"),0)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IFERROR(__xludf.DUMMYFUNCTION("IMPORTRANGE(""https://docs.google.com/spreadsheets/d/1SX6NBoVAgQJ6U1MVXOaj8PK2l7WJ3RER9xtqwdhxkhw/edit?usp=sharing"",""เพชรบุรี!J348"")"),0)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IFERROR(__xludf.DUMMYFUNCTION("IMPORTRANGE(""https://docs.google.com/spreadsheets/d/1SX6NBoVAgQJ6U1MVXOaj8PK2l7WJ3RER9xtqwdhxkhw/edit?usp=sharing"",""เพชรบุรี!J349"")"),0)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IFERROR(__xludf.DUMMYFUNCTION("IMPORTRANGE(""https://docs.google.com/spreadsheets/d/1SX6NBoVAgQJ6U1MVXOaj8PK2l7WJ3RER9xtqwdhxkhw/edit?usp=sharing"",""เพชรบุรี!I350"")"),2359)</f>
        <v>2359</v>
      </c>
      <c r="J455" s="371">
        <f ca="1">IFERROR(__xludf.DUMMYFUNCTION("IMPORTRANGE(""https://docs.google.com/spreadsheets/d/1SX6NBoVAgQJ6U1MVXOaj8PK2l7WJ3RER9xtqwdhxkhw/edit?usp=sharing"",""เพชรบุรี!J350"")"),2169)</f>
        <v>2169</v>
      </c>
      <c r="K455" s="372">
        <f ca="1">IF(I455&gt;0,J455*100/I455,0)</f>
        <v>91.945739720220431</v>
      </c>
      <c r="L455" s="373">
        <f ca="1">IFERROR(__xludf.DUMMYFUNCTION("IMPORTRANGE(""https://docs.google.com/spreadsheets/d/1SX6NBoVAgQJ6U1MVXOaj8PK2l7WJ3RER9xtqwdhxkhw/edit?usp=sharing"",""เพชรบุรี!L350"")"),95347)</f>
        <v>95347</v>
      </c>
      <c r="M455" s="373"/>
      <c r="N455" s="373">
        <f ca="1">IFERROR(__xludf.DUMMYFUNCTION("IMPORTRANGE(""https://docs.google.com/spreadsheets/d/1SX6NBoVAgQJ6U1MVXOaj8PK2l7WJ3RER9xtqwdhxkhw/edit?usp=sharing"",""เพชรบุรี!M350"")"),21430)</f>
        <v>21430</v>
      </c>
      <c r="O455" s="373">
        <f t="shared" ref="O455:O459" ca="1" si="116">+IF(L455&gt;0,N455*100/L455,0)</f>
        <v>22.475798923930487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IFERROR(__xludf.DUMMYFUNCTION("IMPORTRANGE(""https://docs.google.com/spreadsheets/d/1SX6NBoVAgQJ6U1MVXOaj8PK2l7WJ3RER9xtqwdhxkhw/edit?usp=sharing"",""เพชรบุรี!L351"")"),0)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IFERROR(__xludf.DUMMYFUNCTION("IMPORTRANGE(""https://docs.google.com/spreadsheets/d/1SX6NBoVAgQJ6U1MVXOaj8PK2l7WJ3RER9xtqwdhxkhw/edit?usp=sharing"",""เพชรบุรี!M351"")"),0)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IFERROR(__xludf.DUMMYFUNCTION("IMPORTRANGE(""https://docs.google.com/spreadsheets/d/1SX6NBoVAgQJ6U1MVXOaj8PK2l7WJ3RER9xtqwdhxkhw/edit?usp=sharing"",""เพชรบุรี!L352"")"),95347)</f>
        <v>95347</v>
      </c>
      <c r="M457" s="165"/>
      <c r="N457" s="169">
        <f ca="1">IFERROR(__xludf.DUMMYFUNCTION("IMPORTRANGE(""https://docs.google.com/spreadsheets/d/1SX6NBoVAgQJ6U1MVXOaj8PK2l7WJ3RER9xtqwdhxkhw/edit?usp=sharing"",""เพชรบุรี!M352"")"),21430)</f>
        <v>21430</v>
      </c>
      <c r="O457" s="169">
        <f t="shared" ca="1" si="116"/>
        <v>22.475798923930487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IFERROR(__xludf.DUMMYFUNCTION("IMPORTRANGE(""https://docs.google.com/spreadsheets/d/1SX6NBoVAgQJ6U1MVXOaj8PK2l7WJ3RER9xtqwdhxkhw/edit?usp=sharing"",""เพชรบุรี!L353"")"),0)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IFERROR(__xludf.DUMMYFUNCTION("IMPORTRANGE(""https://docs.google.com/spreadsheets/d/1SX6NBoVAgQJ6U1MVXOaj8PK2l7WJ3RER9xtqwdhxkhw/edit?usp=sharing"",""เพชรบุรี!M353"")"),0)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IFERROR(__xludf.DUMMYFUNCTION("IMPORTRANGE(""https://docs.google.com/spreadsheets/d/1SX6NBoVAgQJ6U1MVXOaj8PK2l7WJ3RER9xtqwdhxkhw/edit?usp=sharing"",""เพชรบุรี!L354"")"),95347)</f>
        <v>95347</v>
      </c>
      <c r="M459" s="169"/>
      <c r="N459" s="169">
        <f ca="1">IFERROR(__xludf.DUMMYFUNCTION("IMPORTRANGE(""https://docs.google.com/spreadsheets/d/1SX6NBoVAgQJ6U1MVXOaj8PK2l7WJ3RER9xtqwdhxkhw/edit?usp=sharing"",""เพชรบุรี!M354"")"),21430)</f>
        <v>21430</v>
      </c>
      <c r="O459" s="169">
        <f t="shared" ca="1" si="116"/>
        <v>22.475798923930487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IFERROR(__xludf.DUMMYFUNCTION("IMPORTRANGE(""https://docs.google.com/spreadsheets/d/1SX6NBoVAgQJ6U1MVXOaj8PK2l7WJ3RER9xtqwdhxkhw/edit?usp=sharing"",""เพชรบุรี!M355"")"),0)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IFERROR(__xludf.DUMMYFUNCTION("IMPORTRANGE(""https://docs.google.com/spreadsheets/d/1SX6NBoVAgQJ6U1MVXOaj8PK2l7WJ3RER9xtqwdhxkhw/edit?usp=sharing"",""เพชรบุรี!M356"")"),0)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IFERROR(__xludf.DUMMYFUNCTION("IMPORTRANGE(""https://docs.google.com/spreadsheets/d/1SX6NBoVAgQJ6U1MVXOaj8PK2l7WJ3RER9xtqwdhxkhw/edit?usp=sharing"",""เพชรบุรี!M357"")"),0)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IFERROR(__xludf.DUMMYFUNCTION("IMPORTRANGE(""https://docs.google.com/spreadsheets/d/1SX6NBoVAgQJ6U1MVXOaj8PK2l7WJ3RER9xtqwdhxkhw/edit?usp=sharing"",""เพชรบุรี!M358"")"),21430)</f>
        <v>21430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IFERROR(__xludf.DUMMYFUNCTION("IMPORTRANGE(""https://docs.google.com/spreadsheets/d/1SX6NBoVAgQJ6U1MVXOaj8PK2l7WJ3RER9xtqwdhxkhw/edit?usp=sharing"",""เพชรบุรี!I359"")"),2359)</f>
        <v>2359</v>
      </c>
      <c r="J464" s="267">
        <f ca="1">IFERROR(__xludf.DUMMYFUNCTION("IMPORTRANGE(""https://docs.google.com/spreadsheets/d/1SX6NBoVAgQJ6U1MVXOaj8PK2l7WJ3RER9xtqwdhxkhw/edit?usp=sharing"",""เพชรบุรี!J359"")"),2169)</f>
        <v>2169</v>
      </c>
      <c r="K464" s="268">
        <f t="shared" ref="K464:K515" ca="1" si="117">IF(I464&gt;0,J464*100/I464,0)</f>
        <v>91.945739720220431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IFERROR(__xludf.DUMMYFUNCTION("IMPORTRANGE(""https://docs.google.com/spreadsheets/d/1SX6NBoVAgQJ6U1MVXOaj8PK2l7WJ3RER9xtqwdhxkhw/edit?usp=sharing"",""เพชรบุรี!I360"")"),2359)</f>
        <v>2359</v>
      </c>
      <c r="J465" s="420">
        <f ca="1">IFERROR(__xludf.DUMMYFUNCTION("IMPORTRANGE(""https://docs.google.com/spreadsheets/d/1SX6NBoVAgQJ6U1MVXOaj8PK2l7WJ3RER9xtqwdhxkhw/edit?usp=sharing"",""เพชรบุรี!J360"")"),2359)</f>
        <v>2359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IFERROR(__xludf.DUMMYFUNCTION("IMPORTRANGE(""https://docs.google.com/spreadsheets/d/1SX6NBoVAgQJ6U1MVXOaj8PK2l7WJ3RER9xtqwdhxkhw/edit?usp=sharing"",""เพชรบุรี!I361"")"),311)</f>
        <v>311</v>
      </c>
      <c r="J466" s="420">
        <f ca="1">IFERROR(__xludf.DUMMYFUNCTION("IMPORTRANGE(""https://docs.google.com/spreadsheets/d/1SX6NBoVAgQJ6U1MVXOaj8PK2l7WJ3RER9xtqwdhxkhw/edit?usp=sharing"",""เพชรบุรี!J361"")"),311)</f>
        <v>311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IFERROR(__xludf.DUMMYFUNCTION("IMPORTRANGE(""https://docs.google.com/spreadsheets/d/1SX6NBoVAgQJ6U1MVXOaj8PK2l7WJ3RER9xtqwdhxkhw/edit?usp=sharing"",""เพชรบุรี!I362"")"),0)</f>
        <v>0</v>
      </c>
      <c r="J467" s="189">
        <f ca="1">IFERROR(__xludf.DUMMYFUNCTION("IMPORTRANGE(""https://docs.google.com/spreadsheets/d/1SX6NBoVAgQJ6U1MVXOaj8PK2l7WJ3RER9xtqwdhxkhw/edit?usp=sharing"",""เพชรบุรี!J362"")"),2042)</f>
        <v>2042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IFERROR(__xludf.DUMMYFUNCTION("IMPORTRANGE(""https://docs.google.com/spreadsheets/d/1SX6NBoVAgQJ6U1MVXOaj8PK2l7WJ3RER9xtqwdhxkhw/edit?usp=sharing"",""เพชรบุรี!I363"")"),0)</f>
        <v>0</v>
      </c>
      <c r="J468" s="189">
        <f ca="1">IFERROR(__xludf.DUMMYFUNCTION("IMPORTRANGE(""https://docs.google.com/spreadsheets/d/1SX6NBoVAgQJ6U1MVXOaj8PK2l7WJ3RER9xtqwdhxkhw/edit?usp=sharing"",""เพชรบุรี!J363"")"),271)</f>
        <v>271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IFERROR(__xludf.DUMMYFUNCTION("IMPORTRANGE(""https://docs.google.com/spreadsheets/d/1SX6NBoVAgQJ6U1MVXOaj8PK2l7WJ3RER9xtqwdhxkhw/edit?usp=sharing"",""เพชรบุรี!I364"")"),0)</f>
        <v>0</v>
      </c>
      <c r="J469" s="189">
        <f ca="1">IFERROR(__xludf.DUMMYFUNCTION("IMPORTRANGE(""https://docs.google.com/spreadsheets/d/1SX6NBoVAgQJ6U1MVXOaj8PK2l7WJ3RER9xtqwdhxkhw/edit?usp=sharing"",""เพชรบุรี!J364"")"),305)</f>
        <v>305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IFERROR(__xludf.DUMMYFUNCTION("IMPORTRANGE(""https://docs.google.com/spreadsheets/d/1SX6NBoVAgQJ6U1MVXOaj8PK2l7WJ3RER9xtqwdhxkhw/edit?usp=sharing"",""เพชรบุรี!I365"")"),0)</f>
        <v>0</v>
      </c>
      <c r="J470" s="189">
        <f ca="1">IFERROR(__xludf.DUMMYFUNCTION("IMPORTRANGE(""https://docs.google.com/spreadsheets/d/1SX6NBoVAgQJ6U1MVXOaj8PK2l7WJ3RER9xtqwdhxkhw/edit?usp=sharing"",""เพชรบุรี!J365"")"),38)</f>
        <v>38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IFERROR(__xludf.DUMMYFUNCTION("IMPORTRANGE(""https://docs.google.com/spreadsheets/d/1SX6NBoVAgQJ6U1MVXOaj8PK2l7WJ3RER9xtqwdhxkhw/edit?usp=sharing"",""เพชรบุรี!I366"")"),0)</f>
        <v>0</v>
      </c>
      <c r="J471" s="189">
        <f ca="1">IFERROR(__xludf.DUMMYFUNCTION("IMPORTRANGE(""https://docs.google.com/spreadsheets/d/1SX6NBoVAgQJ6U1MVXOaj8PK2l7WJ3RER9xtqwdhxkhw/edit?usp=sharing"",""เพชรบุรี!J366"")"),12)</f>
        <v>12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IFERROR(__xludf.DUMMYFUNCTION("IMPORTRANGE(""https://docs.google.com/spreadsheets/d/1SX6NBoVAgQJ6U1MVXOaj8PK2l7WJ3RER9xtqwdhxkhw/edit?usp=sharing"",""เพชรบุรี!I367"")"),0)</f>
        <v>0</v>
      </c>
      <c r="J472" s="189">
        <f ca="1">IFERROR(__xludf.DUMMYFUNCTION("IMPORTRANGE(""https://docs.google.com/spreadsheets/d/1SX6NBoVAgQJ6U1MVXOaj8PK2l7WJ3RER9xtqwdhxkhw/edit?usp=sharing"",""เพชรบุรี!J367"")"),2)</f>
        <v>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IFERROR(__xludf.DUMMYFUNCTION("IMPORTRANGE(""https://docs.google.com/spreadsheets/d/1SX6NBoVAgQJ6U1MVXOaj8PK2l7WJ3RER9xtqwdhxkhw/edit?usp=sharing"",""เพชรบุรี!I368"")"),2359)</f>
        <v>2359</v>
      </c>
      <c r="J473" s="420">
        <f ca="1">IFERROR(__xludf.DUMMYFUNCTION("IMPORTRANGE(""https://docs.google.com/spreadsheets/d/1SX6NBoVAgQJ6U1MVXOaj8PK2l7WJ3RER9xtqwdhxkhw/edit?usp=sharing"",""เพชรบุรี!J368"")"),2359)</f>
        <v>2359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IFERROR(__xludf.DUMMYFUNCTION("IMPORTRANGE(""https://docs.google.com/spreadsheets/d/1SX6NBoVAgQJ6U1MVXOaj8PK2l7WJ3RER9xtqwdhxkhw/edit?usp=sharing"",""เพชรบุรี!I369"")"),311)</f>
        <v>311</v>
      </c>
      <c r="J474" s="420">
        <f ca="1">IFERROR(__xludf.DUMMYFUNCTION("IMPORTRANGE(""https://docs.google.com/spreadsheets/d/1SX6NBoVAgQJ6U1MVXOaj8PK2l7WJ3RER9xtqwdhxkhw/edit?usp=sharing"",""เพชรบุรี!J369"")"),311)</f>
        <v>311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IFERROR(__xludf.DUMMYFUNCTION("IMPORTRANGE(""https://docs.google.com/spreadsheets/d/1SX6NBoVAgQJ6U1MVXOaj8PK2l7WJ3RER9xtqwdhxkhw/edit?usp=sharing"",""เพชรบุรี!I370"")"),0)</f>
        <v>0</v>
      </c>
      <c r="J475" s="189">
        <f ca="1">IFERROR(__xludf.DUMMYFUNCTION("IMPORTRANGE(""https://docs.google.com/spreadsheets/d/1SX6NBoVAgQJ6U1MVXOaj8PK2l7WJ3RER9xtqwdhxkhw/edit?usp=sharing"",""เพชรบุรี!J370"")"),2042)</f>
        <v>2042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IFERROR(__xludf.DUMMYFUNCTION("IMPORTRANGE(""https://docs.google.com/spreadsheets/d/1SX6NBoVAgQJ6U1MVXOaj8PK2l7WJ3RER9xtqwdhxkhw/edit?usp=sharing"",""เพชรบุรี!I371"")"),0)</f>
        <v>0</v>
      </c>
      <c r="J476" s="189">
        <f ca="1">IFERROR(__xludf.DUMMYFUNCTION("IMPORTRANGE(""https://docs.google.com/spreadsheets/d/1SX6NBoVAgQJ6U1MVXOaj8PK2l7WJ3RER9xtqwdhxkhw/edit?usp=sharing"",""เพชรบุรี!J371"")"),272)</f>
        <v>272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IFERROR(__xludf.DUMMYFUNCTION("IMPORTRANGE(""https://docs.google.com/spreadsheets/d/1SX6NBoVAgQJ6U1MVXOaj8PK2l7WJ3RER9xtqwdhxkhw/edit?usp=sharing"",""เพชรบุรี!I372"")"),0)</f>
        <v>0</v>
      </c>
      <c r="J477" s="189">
        <f ca="1">IFERROR(__xludf.DUMMYFUNCTION("IMPORTRANGE(""https://docs.google.com/spreadsheets/d/1SX6NBoVAgQJ6U1MVXOaj8PK2l7WJ3RER9xtqwdhxkhw/edit?usp=sharing"",""เพชรบุรี!J372"")"),301)</f>
        <v>301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IFERROR(__xludf.DUMMYFUNCTION("IMPORTRANGE(""https://docs.google.com/spreadsheets/d/1SX6NBoVAgQJ6U1MVXOaj8PK2l7WJ3RER9xtqwdhxkhw/edit?usp=sharing"",""เพชรบุรี!I373"")"),0)</f>
        <v>0</v>
      </c>
      <c r="J478" s="189">
        <f ca="1">IFERROR(__xludf.DUMMYFUNCTION("IMPORTRANGE(""https://docs.google.com/spreadsheets/d/1SX6NBoVAgQJ6U1MVXOaj8PK2l7WJ3RER9xtqwdhxkhw/edit?usp=sharing"",""เพชรบุรี!J373"")"),36)</f>
        <v>36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IFERROR(__xludf.DUMMYFUNCTION("IMPORTRANGE(""https://docs.google.com/spreadsheets/d/1SX6NBoVAgQJ6U1MVXOaj8PK2l7WJ3RER9xtqwdhxkhw/edit?usp=sharing"",""เพชรบุรี!I374"")"),0)</f>
        <v>0</v>
      </c>
      <c r="J479" s="189">
        <f ca="1">IFERROR(__xludf.DUMMYFUNCTION("IMPORTRANGE(""https://docs.google.com/spreadsheets/d/1SX6NBoVAgQJ6U1MVXOaj8PK2l7WJ3RER9xtqwdhxkhw/edit?usp=sharing"",""เพชรบุรี!J374"")"),16)</f>
        <v>16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IFERROR(__xludf.DUMMYFUNCTION("IMPORTRANGE(""https://docs.google.com/spreadsheets/d/1SX6NBoVAgQJ6U1MVXOaj8PK2l7WJ3RER9xtqwdhxkhw/edit?usp=sharing"",""เพชรบุรี!I375"")"),0)</f>
        <v>0</v>
      </c>
      <c r="J480" s="189">
        <f ca="1">IFERROR(__xludf.DUMMYFUNCTION("IMPORTRANGE(""https://docs.google.com/spreadsheets/d/1SX6NBoVAgQJ6U1MVXOaj8PK2l7WJ3RER9xtqwdhxkhw/edit?usp=sharing"",""เพชรบุรี!J375"")"),3)</f>
        <v>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IFERROR(__xludf.DUMMYFUNCTION("IMPORTRANGE(""https://docs.google.com/spreadsheets/d/1SX6NBoVAgQJ6U1MVXOaj8PK2l7WJ3RER9xtqwdhxkhw/edit?usp=sharing"",""เพชรบุรี!I376"")"),2359)</f>
        <v>2359</v>
      </c>
      <c r="J481" s="420">
        <f ca="1">IFERROR(__xludf.DUMMYFUNCTION("IMPORTRANGE(""https://docs.google.com/spreadsheets/d/1SX6NBoVAgQJ6U1MVXOaj8PK2l7WJ3RER9xtqwdhxkhw/edit?usp=sharing"",""เพชรบุรี!J376"")"),2169)</f>
        <v>2169</v>
      </c>
      <c r="K481" s="202">
        <f t="shared" ca="1" si="117"/>
        <v>91.945739720220431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IFERROR(__xludf.DUMMYFUNCTION("IMPORTRANGE(""https://docs.google.com/spreadsheets/d/1SX6NBoVAgQJ6U1MVXOaj8PK2l7WJ3RER9xtqwdhxkhw/edit?usp=sharing"",""เพชรบุรี!I377"")"),311)</f>
        <v>311</v>
      </c>
      <c r="J482" s="420">
        <f ca="1">IFERROR(__xludf.DUMMYFUNCTION("IMPORTRANGE(""https://docs.google.com/spreadsheets/d/1SX6NBoVAgQJ6U1MVXOaj8PK2l7WJ3RER9xtqwdhxkhw/edit?usp=sharing"",""เพชรบุรี!J377"")"),289)</f>
        <v>289</v>
      </c>
      <c r="K482" s="202">
        <f t="shared" ca="1" si="117"/>
        <v>92.926045016077168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IFERROR(__xludf.DUMMYFUNCTION("IMPORTRANGE(""https://docs.google.com/spreadsheets/d/1SX6NBoVAgQJ6U1MVXOaj8PK2l7WJ3RER9xtqwdhxkhw/edit?usp=sharing"",""เพชรบุรี!I378"")"),0)</f>
        <v>0</v>
      </c>
      <c r="J483" s="189">
        <f ca="1">IFERROR(__xludf.DUMMYFUNCTION("IMPORTRANGE(""https://docs.google.com/spreadsheets/d/1SX6NBoVAgQJ6U1MVXOaj8PK2l7WJ3RER9xtqwdhxkhw/edit?usp=sharing"",""เพชรบุรี!J378"")"),2148)</f>
        <v>2148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IFERROR(__xludf.DUMMYFUNCTION("IMPORTRANGE(""https://docs.google.com/spreadsheets/d/1SX6NBoVAgQJ6U1MVXOaj8PK2l7WJ3RER9xtqwdhxkhw/edit?usp=sharing"",""เพชรบุรี!I379"")"),0)</f>
        <v>0</v>
      </c>
      <c r="J484" s="189">
        <f ca="1">IFERROR(__xludf.DUMMYFUNCTION("IMPORTRANGE(""https://docs.google.com/spreadsheets/d/1SX6NBoVAgQJ6U1MVXOaj8PK2l7WJ3RER9xtqwdhxkhw/edit?usp=sharing"",""เพชรบุรี!J379"")"),285)</f>
        <v>285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IFERROR(__xludf.DUMMYFUNCTION("IMPORTRANGE(""https://docs.google.com/spreadsheets/d/1SX6NBoVAgQJ6U1MVXOaj8PK2l7WJ3RER9xtqwdhxkhw/edit?usp=sharing"",""เพชรบุรี!I380"")"),0)</f>
        <v>0</v>
      </c>
      <c r="J485" s="189">
        <f ca="1">IFERROR(__xludf.DUMMYFUNCTION("IMPORTRANGE(""https://docs.google.com/spreadsheets/d/1SX6NBoVAgQJ6U1MVXOaj8PK2l7WJ3RER9xtqwdhxkhw/edit?usp=sharing"",""เพชรบุรี!J380"")"),0)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IFERROR(__xludf.DUMMYFUNCTION("IMPORTRANGE(""https://docs.google.com/spreadsheets/d/1SX6NBoVAgQJ6U1MVXOaj8PK2l7WJ3RER9xtqwdhxkhw/edit?usp=sharing"",""เพชรบุรี!I381"")"),0)</f>
        <v>0</v>
      </c>
      <c r="J486" s="189">
        <f ca="1">IFERROR(__xludf.DUMMYFUNCTION("IMPORTRANGE(""https://docs.google.com/spreadsheets/d/1SX6NBoVAgQJ6U1MVXOaj8PK2l7WJ3RER9xtqwdhxkhw/edit?usp=sharing"",""เพชรบุรี!J381"")"),0)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IFERROR(__xludf.DUMMYFUNCTION("IMPORTRANGE(""https://docs.google.com/spreadsheets/d/1SX6NBoVAgQJ6U1MVXOaj8PK2l7WJ3RER9xtqwdhxkhw/edit?usp=sharing"",""เพชรบุรี!I382"")"),0)</f>
        <v>0</v>
      </c>
      <c r="J487" s="420">
        <f ca="1">IFERROR(__xludf.DUMMYFUNCTION("IMPORTRANGE(""https://docs.google.com/spreadsheets/d/1SX6NBoVAgQJ6U1MVXOaj8PK2l7WJ3RER9xtqwdhxkhw/edit?usp=sharing"",""เพชรบุรี!J382"")"),21)</f>
        <v>21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IFERROR(__xludf.DUMMYFUNCTION("IMPORTRANGE(""https://docs.google.com/spreadsheets/d/1SX6NBoVAgQJ6U1MVXOaj8PK2l7WJ3RER9xtqwdhxkhw/edit?usp=sharing"",""เพชรบุรี!I383"")"),0)</f>
        <v>0</v>
      </c>
      <c r="J488" s="420">
        <f ca="1">IFERROR(__xludf.DUMMYFUNCTION("IMPORTRANGE(""https://docs.google.com/spreadsheets/d/1SX6NBoVAgQJ6U1MVXOaj8PK2l7WJ3RER9xtqwdhxkhw/edit?usp=sharing"",""เพชรบุรี!J383"")"),4)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IFERROR(__xludf.DUMMYFUNCTION("IMPORTRANGE(""https://docs.google.com/spreadsheets/d/1SX6NBoVAgQJ6U1MVXOaj8PK2l7WJ3RER9xtqwdhxkhw/edit?usp=sharing"",""เพชรบุรี!I384"")"),0)</f>
        <v>0</v>
      </c>
      <c r="J489" s="189">
        <f ca="1">IFERROR(__xludf.DUMMYFUNCTION("IMPORTRANGE(""https://docs.google.com/spreadsheets/d/1SX6NBoVAgQJ6U1MVXOaj8PK2l7WJ3RER9xtqwdhxkhw/edit?usp=sharing"",""เพชรบุรี!J384"")"),21)</f>
        <v>21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IFERROR(__xludf.DUMMYFUNCTION("IMPORTRANGE(""https://docs.google.com/spreadsheets/d/1SX6NBoVAgQJ6U1MVXOaj8PK2l7WJ3RER9xtqwdhxkhw/edit?usp=sharing"",""เพชรบุรี!I385"")"),0)</f>
        <v>0</v>
      </c>
      <c r="J490" s="189">
        <f ca="1">IFERROR(__xludf.DUMMYFUNCTION("IMPORTRANGE(""https://docs.google.com/spreadsheets/d/1SX6NBoVAgQJ6U1MVXOaj8PK2l7WJ3RER9xtqwdhxkhw/edit?usp=sharing"",""เพชรบุรี!J385"")"),4)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IFERROR(__xludf.DUMMYFUNCTION("IMPORTRANGE(""https://docs.google.com/spreadsheets/d/1SX6NBoVAgQJ6U1MVXOaj8PK2l7WJ3RER9xtqwdhxkhw/edit?usp=sharing"",""เพชรบุรี!I386"")"),0)</f>
        <v>0</v>
      </c>
      <c r="J491" s="189">
        <f ca="1">IFERROR(__xludf.DUMMYFUNCTION("IMPORTRANGE(""https://docs.google.com/spreadsheets/d/1SX6NBoVAgQJ6U1MVXOaj8PK2l7WJ3RER9xtqwdhxkhw/edit?usp=sharing"",""เพชรบุรี!J386"")"),0)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IFERROR(__xludf.DUMMYFUNCTION("IMPORTRANGE(""https://docs.google.com/spreadsheets/d/1SX6NBoVAgQJ6U1MVXOaj8PK2l7WJ3RER9xtqwdhxkhw/edit?usp=sharing"",""เพชรบุรี!I387"")"),0)</f>
        <v>0</v>
      </c>
      <c r="J492" s="189">
        <f ca="1">IFERROR(__xludf.DUMMYFUNCTION("IMPORTRANGE(""https://docs.google.com/spreadsheets/d/1SX6NBoVAgQJ6U1MVXOaj8PK2l7WJ3RER9xtqwdhxkhw/edit?usp=sharing"",""เพชรบุรี!J387"")"),0)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IFERROR(__xludf.DUMMYFUNCTION("IMPORTRANGE(""https://docs.google.com/spreadsheets/d/1SX6NBoVAgQJ6U1MVXOaj8PK2l7WJ3RER9xtqwdhxkhw/edit?usp=sharing"",""เพชรบุรี!I388"")"),0)</f>
        <v>0</v>
      </c>
      <c r="J493" s="189">
        <f ca="1">IFERROR(__xludf.DUMMYFUNCTION("IMPORTRANGE(""https://docs.google.com/spreadsheets/d/1SX6NBoVAgQJ6U1MVXOaj8PK2l7WJ3RER9xtqwdhxkhw/edit?usp=sharing"",""เพชรบุรี!J388"")"),0)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IFERROR(__xludf.DUMMYFUNCTION("IMPORTRANGE(""https://docs.google.com/spreadsheets/d/1SX6NBoVAgQJ6U1MVXOaj8PK2l7WJ3RER9xtqwdhxkhw/edit?usp=sharing"",""เพชรบุรี!I389"")"),0)</f>
        <v>0</v>
      </c>
      <c r="J494" s="436">
        <f ca="1">IFERROR(__xludf.DUMMYFUNCTION("IMPORTRANGE(""https://docs.google.com/spreadsheets/d/1SX6NBoVAgQJ6U1MVXOaj8PK2l7WJ3RER9xtqwdhxkhw/edit?usp=sharing"",""เพชรบุรี!J389"")"),0)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IFERROR(__xludf.DUMMYFUNCTION("IMPORTRANGE(""https://docs.google.com/spreadsheets/d/1SX6NBoVAgQJ6U1MVXOaj8PK2l7WJ3RER9xtqwdhxkhw/edit?usp=sharing"",""เพชรบุรี!I390"")"),0)</f>
        <v>0</v>
      </c>
      <c r="J495" s="436">
        <f ca="1">IFERROR(__xludf.DUMMYFUNCTION("IMPORTRANGE(""https://docs.google.com/spreadsheets/d/1SX6NBoVAgQJ6U1MVXOaj8PK2l7WJ3RER9xtqwdhxkhw/edit?usp=sharing"",""เพชรบุรี!J390"")"),0)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IFERROR(__xludf.DUMMYFUNCTION("IMPORTRANGE(""https://docs.google.com/spreadsheets/d/1SX6NBoVAgQJ6U1MVXOaj8PK2l7WJ3RER9xtqwdhxkhw/edit?usp=sharing"",""เพชรบุรี!I391"")"),0)</f>
        <v>0</v>
      </c>
      <c r="J496" s="436">
        <f ca="1">IFERROR(__xludf.DUMMYFUNCTION("IMPORTRANGE(""https://docs.google.com/spreadsheets/d/1SX6NBoVAgQJ6U1MVXOaj8PK2l7WJ3RER9xtqwdhxkhw/edit?usp=sharing"",""เพชรบุรี!J391"")"),0)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IFERROR(__xludf.DUMMYFUNCTION("IMPORTRANGE(""https://docs.google.com/spreadsheets/d/1SX6NBoVAgQJ6U1MVXOaj8PK2l7WJ3RER9xtqwdhxkhw/edit?usp=sharing"",""เพชรบุรี!I392"")"),533)</f>
        <v>533</v>
      </c>
      <c r="J497" s="443">
        <f ca="1">IFERROR(__xludf.DUMMYFUNCTION("IMPORTRANGE(""https://docs.google.com/spreadsheets/d/1SX6NBoVAgQJ6U1MVXOaj8PK2l7WJ3RER9xtqwdhxkhw/edit?usp=sharing"",""เพชรบุรี!J392"")"),504)</f>
        <v>504</v>
      </c>
      <c r="K497" s="444">
        <f t="shared" ca="1" si="117"/>
        <v>94.55909943714822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IFERROR(__xludf.DUMMYFUNCTION("IMPORTRANGE(""https://docs.google.com/spreadsheets/d/1SX6NBoVAgQJ6U1MVXOaj8PK2l7WJ3RER9xtqwdhxkhw/edit?usp=sharing"",""เพชรบุรี!I393"")"),533)</f>
        <v>533</v>
      </c>
      <c r="J498" s="420">
        <f ca="1">IFERROR(__xludf.DUMMYFUNCTION("IMPORTRANGE(""https://docs.google.com/spreadsheets/d/1SX6NBoVAgQJ6U1MVXOaj8PK2l7WJ3RER9xtqwdhxkhw/edit?usp=sharing"",""เพชรบุรี!J393"")"),504)</f>
        <v>504</v>
      </c>
      <c r="K498" s="202">
        <f t="shared" ca="1" si="117"/>
        <v>94.55909943714822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IFERROR(__xludf.DUMMYFUNCTION("IMPORTRANGE(""https://docs.google.com/spreadsheets/d/1SX6NBoVAgQJ6U1MVXOaj8PK2l7WJ3RER9xtqwdhxkhw/edit?usp=sharing"",""เพชรบุรี!I394"")"),136)</f>
        <v>136</v>
      </c>
      <c r="J499" s="420">
        <f ca="1">IFERROR(__xludf.DUMMYFUNCTION("IMPORTRANGE(""https://docs.google.com/spreadsheets/d/1SX6NBoVAgQJ6U1MVXOaj8PK2l7WJ3RER9xtqwdhxkhw/edit?usp=sharing"",""เพชรบุรี!J394"")"),101)</f>
        <v>101</v>
      </c>
      <c r="K499" s="202">
        <f t="shared" ca="1" si="117"/>
        <v>74.264705882352942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IFERROR(__xludf.DUMMYFUNCTION("IMPORTRANGE(""https://docs.google.com/spreadsheets/d/1SX6NBoVAgQJ6U1MVXOaj8PK2l7WJ3RER9xtqwdhxkhw/edit?usp=sharing"",""เพชรบุรี!I395"")"),0)</f>
        <v>0</v>
      </c>
      <c r="J500" s="162">
        <f ca="1">IFERROR(__xludf.DUMMYFUNCTION("IMPORTRANGE(""https://docs.google.com/spreadsheets/d/1SX6NBoVAgQJ6U1MVXOaj8PK2l7WJ3RER9xtqwdhxkhw/edit?usp=sharing"",""เพชรบุรี!J395"")"),0)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IFERROR(__xludf.DUMMYFUNCTION("IMPORTRANGE(""https://docs.google.com/spreadsheets/d/1SX6NBoVAgQJ6U1MVXOaj8PK2l7WJ3RER9xtqwdhxkhw/edit?usp=sharing"",""เพชรบุรี!I396"")"),0)</f>
        <v>0</v>
      </c>
      <c r="J501" s="162">
        <f ca="1">IFERROR(__xludf.DUMMYFUNCTION("IMPORTRANGE(""https://docs.google.com/spreadsheets/d/1SX6NBoVAgQJ6U1MVXOaj8PK2l7WJ3RER9xtqwdhxkhw/edit?usp=sharing"",""เพชรบุรี!J396"")"),0)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IFERROR(__xludf.DUMMYFUNCTION("IMPORTRANGE(""https://docs.google.com/spreadsheets/d/1SX6NBoVAgQJ6U1MVXOaj8PK2l7WJ3RER9xtqwdhxkhw/edit?usp=sharing"",""เพชรบุรี!I397"")"),0)</f>
        <v>0</v>
      </c>
      <c r="J502" s="189">
        <f ca="1">IFERROR(__xludf.DUMMYFUNCTION("IMPORTRANGE(""https://docs.google.com/spreadsheets/d/1SX6NBoVAgQJ6U1MVXOaj8PK2l7WJ3RER9xtqwdhxkhw/edit?usp=sharing"",""เพชรบุรี!J397"")"),0)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IFERROR(__xludf.DUMMYFUNCTION("IMPORTRANGE(""https://docs.google.com/spreadsheets/d/1SX6NBoVAgQJ6U1MVXOaj8PK2l7WJ3RER9xtqwdhxkhw/edit?usp=sharing"",""เพชรบุรี!I398"")"),0)</f>
        <v>0</v>
      </c>
      <c r="J503" s="198">
        <f ca="1">IFERROR(__xludf.DUMMYFUNCTION("IMPORTRANGE(""https://docs.google.com/spreadsheets/d/1SX6NBoVAgQJ6U1MVXOaj8PK2l7WJ3RER9xtqwdhxkhw/edit?usp=sharing"",""เพชรบุรี!J398"")"),0)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IFERROR(__xludf.DUMMYFUNCTION("IMPORTRANGE(""https://docs.google.com/spreadsheets/d/1SX6NBoVAgQJ6U1MVXOaj8PK2l7WJ3RER9xtqwdhxkhw/edit?usp=sharing"",""เพชรบุรี!I399"")"),0)</f>
        <v>0</v>
      </c>
      <c r="J504" s="189">
        <f ca="1">IFERROR(__xludf.DUMMYFUNCTION("IMPORTRANGE(""https://docs.google.com/spreadsheets/d/1SX6NBoVAgQJ6U1MVXOaj8PK2l7WJ3RER9xtqwdhxkhw/edit?usp=sharing"",""เพชรบุรี!J399"")"),0)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IFERROR(__xludf.DUMMYFUNCTION("IMPORTRANGE(""https://docs.google.com/spreadsheets/d/1SX6NBoVAgQJ6U1MVXOaj8PK2l7WJ3RER9xtqwdhxkhw/edit?usp=sharing"",""เพชรบุรี!I400"")"),0)</f>
        <v>0</v>
      </c>
      <c r="J505" s="198">
        <f ca="1">IFERROR(__xludf.DUMMYFUNCTION("IMPORTRANGE(""https://docs.google.com/spreadsheets/d/1SX6NBoVAgQJ6U1MVXOaj8PK2l7WJ3RER9xtqwdhxkhw/edit?usp=sharing"",""เพชรบุรี!J400"")"),0)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IFERROR(__xludf.DUMMYFUNCTION("IMPORTRANGE(""https://docs.google.com/spreadsheets/d/1SX6NBoVAgQJ6U1MVXOaj8PK2l7WJ3RER9xtqwdhxkhw/edit?usp=sharing"",""เพชรบุรี!I401"")"),0)</f>
        <v>0</v>
      </c>
      <c r="J506" s="189">
        <f ca="1">IFERROR(__xludf.DUMMYFUNCTION("IMPORTRANGE(""https://docs.google.com/spreadsheets/d/1SX6NBoVAgQJ6U1MVXOaj8PK2l7WJ3RER9xtqwdhxkhw/edit?usp=sharing"",""เพชรบุรี!J401"")"),0)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IFERROR(__xludf.DUMMYFUNCTION("IMPORTRANGE(""https://docs.google.com/spreadsheets/d/1SX6NBoVAgQJ6U1MVXOaj8PK2l7WJ3RER9xtqwdhxkhw/edit?usp=sharing"",""เพชรบุรี!I402"")"),0)</f>
        <v>0</v>
      </c>
      <c r="J507" s="198">
        <f ca="1">IFERROR(__xludf.DUMMYFUNCTION("IMPORTRANGE(""https://docs.google.com/spreadsheets/d/1SX6NBoVAgQJ6U1MVXOaj8PK2l7WJ3RER9xtqwdhxkhw/edit?usp=sharing"",""เพชรบุรี!J402"")"),0)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IFERROR(__xludf.DUMMYFUNCTION("IMPORTRANGE(""https://docs.google.com/spreadsheets/d/1SX6NBoVAgQJ6U1MVXOaj8PK2l7WJ3RER9xtqwdhxkhw/edit?usp=sharing"",""เพชรบุรี!I403"")"),0)</f>
        <v>0</v>
      </c>
      <c r="J508" s="162">
        <f ca="1">IFERROR(__xludf.DUMMYFUNCTION("IMPORTRANGE(""https://docs.google.com/spreadsheets/d/1SX6NBoVAgQJ6U1MVXOaj8PK2l7WJ3RER9xtqwdhxkhw/edit?usp=sharing"",""เพชรบุรี!J403"")"),0)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IFERROR(__xludf.DUMMYFUNCTION("IMPORTRANGE(""https://docs.google.com/spreadsheets/d/1SX6NBoVAgQJ6U1MVXOaj8PK2l7WJ3RER9xtqwdhxkhw/edit?usp=sharing"",""เพชรบุรี!I404"")"),0)</f>
        <v>0</v>
      </c>
      <c r="J509" s="162">
        <f ca="1">IFERROR(__xludf.DUMMYFUNCTION("IMPORTRANGE(""https://docs.google.com/spreadsheets/d/1SX6NBoVAgQJ6U1MVXOaj8PK2l7WJ3RER9xtqwdhxkhw/edit?usp=sharing"",""เพชรบุรี!J404"")"),0)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IFERROR(__xludf.DUMMYFUNCTION("IMPORTRANGE(""https://docs.google.com/spreadsheets/d/1SX6NBoVAgQJ6U1MVXOaj8PK2l7WJ3RER9xtqwdhxkhw/edit?usp=sharing"",""เพชรบุรี!I405"")"),0)</f>
        <v>0</v>
      </c>
      <c r="J510" s="198">
        <f ca="1">IFERROR(__xludf.DUMMYFUNCTION("IMPORTRANGE(""https://docs.google.com/spreadsheets/d/1SX6NBoVAgQJ6U1MVXOaj8PK2l7WJ3RER9xtqwdhxkhw/edit?usp=sharing"",""เพชรบุรี!J405"")"),0)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IFERROR(__xludf.DUMMYFUNCTION("IMPORTRANGE(""https://docs.google.com/spreadsheets/d/1SX6NBoVAgQJ6U1MVXOaj8PK2l7WJ3RER9xtqwdhxkhw/edit?usp=sharing"",""เพชรบุรี!I406"")"),0)</f>
        <v>0</v>
      </c>
      <c r="J511" s="198">
        <f ca="1">IFERROR(__xludf.DUMMYFUNCTION("IMPORTRANGE(""https://docs.google.com/spreadsheets/d/1SX6NBoVAgQJ6U1MVXOaj8PK2l7WJ3RER9xtqwdhxkhw/edit?usp=sharing"",""เพชรบุรี!J406"")"),0)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IFERROR(__xludf.DUMMYFUNCTION("IMPORTRANGE(""https://docs.google.com/spreadsheets/d/1SX6NBoVAgQJ6U1MVXOaj8PK2l7WJ3RER9xtqwdhxkhw/edit?usp=sharing"",""เพชรบุรี!I407"")"),0)</f>
        <v>0</v>
      </c>
      <c r="J512" s="198">
        <f ca="1">IFERROR(__xludf.DUMMYFUNCTION("IMPORTRANGE(""https://docs.google.com/spreadsheets/d/1SX6NBoVAgQJ6U1MVXOaj8PK2l7WJ3RER9xtqwdhxkhw/edit?usp=sharing"",""เพชรบุรี!J407"")"),0)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IFERROR(__xludf.DUMMYFUNCTION("IMPORTRANGE(""https://docs.google.com/spreadsheets/d/1SX6NBoVAgQJ6U1MVXOaj8PK2l7WJ3RER9xtqwdhxkhw/edit?usp=sharing"",""เพชรบุรี!I408"")"),0)</f>
        <v>0</v>
      </c>
      <c r="J513" s="198">
        <f ca="1">IFERROR(__xludf.DUMMYFUNCTION("IMPORTRANGE(""https://docs.google.com/spreadsheets/d/1SX6NBoVAgQJ6U1MVXOaj8PK2l7WJ3RER9xtqwdhxkhw/edit?usp=sharing"",""เพชรบุรี!J408"")"),0)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IFERROR(__xludf.DUMMYFUNCTION("IMPORTRANGE(""https://docs.google.com/spreadsheets/d/1SX6NBoVAgQJ6U1MVXOaj8PK2l7WJ3RER9xtqwdhxkhw/edit?usp=sharing"",""เพชรบุรี!I409"")"),0)</f>
        <v>0</v>
      </c>
      <c r="J514" s="198">
        <f ca="1">IFERROR(__xludf.DUMMYFUNCTION("IMPORTRANGE(""https://docs.google.com/spreadsheets/d/1SX6NBoVAgQJ6U1MVXOaj8PK2l7WJ3RER9xtqwdhxkhw/edit?usp=sharing"",""เพชรบุรี!J409"")"),504)</f>
        <v>504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IFERROR(__xludf.DUMMYFUNCTION("IMPORTRANGE(""https://docs.google.com/spreadsheets/d/1SX6NBoVAgQJ6U1MVXOaj8PK2l7WJ3RER9xtqwdhxkhw/edit?usp=sharing"",""เพชรบุรี!I410"")"),0)</f>
        <v>0</v>
      </c>
      <c r="J515" s="198">
        <f ca="1">IFERROR(__xludf.DUMMYFUNCTION("IMPORTRANGE(""https://docs.google.com/spreadsheets/d/1SX6NBoVAgQJ6U1MVXOaj8PK2l7WJ3RER9xtqwdhxkhw/edit?usp=sharing"",""เพชรบุรี!J410"")"),101)</f>
        <v>101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IFERROR(__xludf.DUMMYFUNCTION("IMPORTRANGE(""https://docs.google.com/spreadsheets/d/1SX6NBoVAgQJ6U1MVXOaj8PK2l7WJ3RER9xtqwdhxkhw/edit?usp=sharing"",""เพชรบุรี!I411"")"),0)</f>
        <v>0</v>
      </c>
      <c r="J516" s="267">
        <f ca="1">IFERROR(__xludf.DUMMYFUNCTION("IMPORTRANGE(""https://docs.google.com/spreadsheets/d/1SX6NBoVAgQJ6U1MVXOaj8PK2l7WJ3RER9xtqwdhxkhw/edit?usp=sharing"",""เพชรบุรี!J411"")"),0)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IFERROR(__xludf.DUMMYFUNCTION("IMPORTRANGE(""https://docs.google.com/spreadsheets/d/1SX6NBoVAgQJ6U1MVXOaj8PK2l7WJ3RER9xtqwdhxkhw/edit?usp=sharing"",""เพชรบุรี!I412"")"),0)</f>
        <v>0</v>
      </c>
      <c r="J517" s="284">
        <f ca="1">IFERROR(__xludf.DUMMYFUNCTION("IMPORTRANGE(""https://docs.google.com/spreadsheets/d/1SX6NBoVAgQJ6U1MVXOaj8PK2l7WJ3RER9xtqwdhxkhw/edit?usp=sharing"",""เพชรบุรี!J412"")"),0)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IFERROR(__xludf.DUMMYFUNCTION("IMPORTRANGE(""https://docs.google.com/spreadsheets/d/1SX6NBoVAgQJ6U1MVXOaj8PK2l7WJ3RER9xtqwdhxkhw/edit?usp=sharing"",""เพชรบุรี!I413"")"),0)</f>
        <v>0</v>
      </c>
      <c r="J518" s="284">
        <f ca="1">IFERROR(__xludf.DUMMYFUNCTION("IMPORTRANGE(""https://docs.google.com/spreadsheets/d/1SX6NBoVAgQJ6U1MVXOaj8PK2l7WJ3RER9xtqwdhxkhw/edit?usp=sharing"",""เพชรบุรี!J413"")"),0)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IFERROR(__xludf.DUMMYFUNCTION("IMPORTRANGE(""https://docs.google.com/spreadsheets/d/1SX6NBoVAgQJ6U1MVXOaj8PK2l7WJ3RER9xtqwdhxkhw/edit?usp=sharing"",""เพชรบุรี!I414"")"),0)</f>
        <v>0</v>
      </c>
      <c r="J519" s="188">
        <f ca="1">IFERROR(__xludf.DUMMYFUNCTION("IMPORTRANGE(""https://docs.google.com/spreadsheets/d/1SX6NBoVAgQJ6U1MVXOaj8PK2l7WJ3RER9xtqwdhxkhw/edit?usp=sharing"",""เพชรบุรี!J414"")"),0)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IFERROR(__xludf.DUMMYFUNCTION("IMPORTRANGE(""https://docs.google.com/spreadsheets/d/1SX6NBoVAgQJ6U1MVXOaj8PK2l7WJ3RER9xtqwdhxkhw/edit?usp=sharing"",""เพชรบุรี!I415"")"),0)</f>
        <v>0</v>
      </c>
      <c r="J520" s="188">
        <f ca="1">IFERROR(__xludf.DUMMYFUNCTION("IMPORTRANGE(""https://docs.google.com/spreadsheets/d/1SX6NBoVAgQJ6U1MVXOaj8PK2l7WJ3RER9xtqwdhxkhw/edit?usp=sharing"",""เพชรบุรี!J415"")"),0)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IFERROR(__xludf.DUMMYFUNCTION("IMPORTRANGE(""https://docs.google.com/spreadsheets/d/1SX6NBoVAgQJ6U1MVXOaj8PK2l7WJ3RER9xtqwdhxkhw/edit?usp=sharing"",""เพชรบุรี!I416"")"),0)</f>
        <v>0</v>
      </c>
      <c r="J521" s="188">
        <f ca="1">IFERROR(__xludf.DUMMYFUNCTION("IMPORTRANGE(""https://docs.google.com/spreadsheets/d/1SX6NBoVAgQJ6U1MVXOaj8PK2l7WJ3RER9xtqwdhxkhw/edit?usp=sharing"",""เพชรบุรี!J416"")"),0)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IFERROR(__xludf.DUMMYFUNCTION("IMPORTRANGE(""https://docs.google.com/spreadsheets/d/1SX6NBoVAgQJ6U1MVXOaj8PK2l7WJ3RER9xtqwdhxkhw/edit?usp=sharing"",""เพชรบุรี!I417"")"),0)</f>
        <v>0</v>
      </c>
      <c r="J522" s="188">
        <f ca="1">IFERROR(__xludf.DUMMYFUNCTION("IMPORTRANGE(""https://docs.google.com/spreadsheets/d/1SX6NBoVAgQJ6U1MVXOaj8PK2l7WJ3RER9xtqwdhxkhw/edit?usp=sharing"",""เพชรบุรี!J417"")"),0)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IFERROR(__xludf.DUMMYFUNCTION("IMPORTRANGE(""https://docs.google.com/spreadsheets/d/1SX6NBoVAgQJ6U1MVXOaj8PK2l7WJ3RER9xtqwdhxkhw/edit?usp=sharing"",""เพชรบุรี!I418"")"),0)</f>
        <v>0</v>
      </c>
      <c r="J523" s="188">
        <f ca="1">IFERROR(__xludf.DUMMYFUNCTION("IMPORTRANGE(""https://docs.google.com/spreadsheets/d/1SX6NBoVAgQJ6U1MVXOaj8PK2l7WJ3RER9xtqwdhxkhw/edit?usp=sharing"",""เพชรบุรี!J418"")"),0)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IFERROR(__xludf.DUMMYFUNCTION("IMPORTRANGE(""https://docs.google.com/spreadsheets/d/1SX6NBoVAgQJ6U1MVXOaj8PK2l7WJ3RER9xtqwdhxkhw/edit?usp=sharing"",""เพชรบุรี!I419"")"),0)</f>
        <v>0</v>
      </c>
      <c r="J524" s="188">
        <f ca="1">IFERROR(__xludf.DUMMYFUNCTION("IMPORTRANGE(""https://docs.google.com/spreadsheets/d/1SX6NBoVAgQJ6U1MVXOaj8PK2l7WJ3RER9xtqwdhxkhw/edit?usp=sharing"",""เพชรบุรี!J419"")"),0)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IFERROR(__xludf.DUMMYFUNCTION("IMPORTRANGE(""https://docs.google.com/spreadsheets/d/1SX6NBoVAgQJ6U1MVXOaj8PK2l7WJ3RER9xtqwdhxkhw/edit?usp=sharing"",""เพชรบุรี!I420"")"),0)</f>
        <v>0</v>
      </c>
      <c r="J525" s="284">
        <f ca="1">IFERROR(__xludf.DUMMYFUNCTION("IMPORTRANGE(""https://docs.google.com/spreadsheets/d/1SX6NBoVAgQJ6U1MVXOaj8PK2l7WJ3RER9xtqwdhxkhw/edit?usp=sharing"",""เพชรบุรี!J420"")"),0)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IFERROR(__xludf.DUMMYFUNCTION("IMPORTRANGE(""https://docs.google.com/spreadsheets/d/1SX6NBoVAgQJ6U1MVXOaj8PK2l7WJ3RER9xtqwdhxkhw/edit?usp=sharing"",""เพชรบุรี!I421"")"),0)</f>
        <v>0</v>
      </c>
      <c r="J526" s="284">
        <f ca="1">IFERROR(__xludf.DUMMYFUNCTION("IMPORTRANGE(""https://docs.google.com/spreadsheets/d/1SX6NBoVAgQJ6U1MVXOaj8PK2l7WJ3RER9xtqwdhxkhw/edit?usp=sharing"",""เพชรบุรี!J421"")"),0)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IFERROR(__xludf.DUMMYFUNCTION("IMPORTRANGE(""https://docs.google.com/spreadsheets/d/1SX6NBoVAgQJ6U1MVXOaj8PK2l7WJ3RER9xtqwdhxkhw/edit?usp=sharing"",""เพชรบุรี!I422"")"),0)</f>
        <v>0</v>
      </c>
      <c r="J527" s="198">
        <f ca="1">IFERROR(__xludf.DUMMYFUNCTION("IMPORTRANGE(""https://docs.google.com/spreadsheets/d/1SX6NBoVAgQJ6U1MVXOaj8PK2l7WJ3RER9xtqwdhxkhw/edit?usp=sharing"",""เพชรบุรี!J422"")"),0)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IFERROR(__xludf.DUMMYFUNCTION("IMPORTRANGE(""https://docs.google.com/spreadsheets/d/1SX6NBoVAgQJ6U1MVXOaj8PK2l7WJ3RER9xtqwdhxkhw/edit?usp=sharing"",""เพชรบุรี!I423"")"),0)</f>
        <v>0</v>
      </c>
      <c r="J528" s="198">
        <f ca="1">IFERROR(__xludf.DUMMYFUNCTION("IMPORTRANGE(""https://docs.google.com/spreadsheets/d/1SX6NBoVAgQJ6U1MVXOaj8PK2l7WJ3RER9xtqwdhxkhw/edit?usp=sharing"",""เพชรบุรี!J423"")"),0)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IFERROR(__xludf.DUMMYFUNCTION("IMPORTRANGE(""https://docs.google.com/spreadsheets/d/1SX6NBoVAgQJ6U1MVXOaj8PK2l7WJ3RER9xtqwdhxkhw/edit?usp=sharing"",""เพชรบุรี!I424"")"),0)</f>
        <v>0</v>
      </c>
      <c r="J529" s="198">
        <f ca="1">IFERROR(__xludf.DUMMYFUNCTION("IMPORTRANGE(""https://docs.google.com/spreadsheets/d/1SX6NBoVAgQJ6U1MVXOaj8PK2l7WJ3RER9xtqwdhxkhw/edit?usp=sharing"",""เพชรบุรี!J424"")"),0)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IFERROR(__xludf.DUMMYFUNCTION("IMPORTRANGE(""https://docs.google.com/spreadsheets/d/1SX6NBoVAgQJ6U1MVXOaj8PK2l7WJ3RER9xtqwdhxkhw/edit?usp=sharing"",""เพชรบุรี!I425"")"),0)</f>
        <v>0</v>
      </c>
      <c r="J530" s="198">
        <f ca="1">IFERROR(__xludf.DUMMYFUNCTION("IMPORTRANGE(""https://docs.google.com/spreadsheets/d/1SX6NBoVAgQJ6U1MVXOaj8PK2l7WJ3RER9xtqwdhxkhw/edit?usp=sharing"",""เพชรบุรี!J425"")"),0)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IFERROR(__xludf.DUMMYFUNCTION("IMPORTRANGE(""https://docs.google.com/spreadsheets/d/1SX6NBoVAgQJ6U1MVXOaj8PK2l7WJ3RER9xtqwdhxkhw/edit?usp=sharing"",""เพชรบุรี!I426"")"),0)</f>
        <v>0</v>
      </c>
      <c r="J531" s="198">
        <f ca="1">IFERROR(__xludf.DUMMYFUNCTION("IMPORTRANGE(""https://docs.google.com/spreadsheets/d/1SX6NBoVAgQJ6U1MVXOaj8PK2l7WJ3RER9xtqwdhxkhw/edit?usp=sharing"",""เพชรบุรี!J426"")"),0)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IFERROR(__xludf.DUMMYFUNCTION("IMPORTRANGE(""https://docs.google.com/spreadsheets/d/1SX6NBoVAgQJ6U1MVXOaj8PK2l7WJ3RER9xtqwdhxkhw/edit?usp=sharing"",""เพชรบุรี!I427"")"),0)</f>
        <v>0</v>
      </c>
      <c r="J532" s="466">
        <f ca="1">IFERROR(__xludf.DUMMYFUNCTION("IMPORTRANGE(""https://docs.google.com/spreadsheets/d/1SX6NBoVAgQJ6U1MVXOaj8PK2l7WJ3RER9xtqwdhxkhw/edit?usp=sharing"",""เพชรบุรี!J427"")"),0)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IFERROR(__xludf.DUMMYFUNCTION("IMPORTRANGE(""https://docs.google.com/spreadsheets/d/1SX6NBoVAgQJ6U1MVXOaj8PK2l7WJ3RER9xtqwdhxkhw/edit?usp=sharing"",""เพชรบุรี!I428"")"),22)</f>
        <v>22</v>
      </c>
      <c r="J533" s="410">
        <f ca="1">IFERROR(__xludf.DUMMYFUNCTION("IMPORTRANGE(""https://docs.google.com/spreadsheets/d/1SX6NBoVAgQJ6U1MVXOaj8PK2l7WJ3RER9xtqwdhxkhw/edit?usp=sharing"",""เพชรบุรี!J428"")"),22)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IFERROR(__xludf.DUMMYFUNCTION("IMPORTRANGE(""https://docs.google.com/spreadsheets/d/1SX6NBoVAgQJ6U1MVXOaj8PK2l7WJ3RER9xtqwdhxkhw/edit?usp=sharing"",""เพชรบุรี!L428"")"),34340)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IFERROR(__xludf.DUMMYFUNCTION("IMPORTRANGE(""https://docs.google.com/spreadsheets/d/1SX6NBoVAgQJ6U1MVXOaj8PK2l7WJ3RER9xtqwdhxkhw/edit?usp=sharing"",""เพชรบุรี!M428"")"),18805)</f>
        <v>18805</v>
      </c>
      <c r="O533" s="412">
        <f t="shared" ref="O533:O537" ca="1" si="118">+IF(L533&gt;0,N533*100/L533,0)</f>
        <v>54.761211415259176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IFERROR(__xludf.DUMMYFUNCTION("IMPORTRANGE(""https://docs.google.com/spreadsheets/d/1SX6NBoVAgQJ6U1MVXOaj8PK2l7WJ3RER9xtqwdhxkhw/edit?usp=sharing"",""เพชรบุรี!L429"")"),0)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IFERROR(__xludf.DUMMYFUNCTION("IMPORTRANGE(""https://docs.google.com/spreadsheets/d/1SX6NBoVAgQJ6U1MVXOaj8PK2l7WJ3RER9xtqwdhxkhw/edit?usp=sharing"",""เพชรบุรี!M429"")"),0)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IFERROR(__xludf.DUMMYFUNCTION("IMPORTRANGE(""https://docs.google.com/spreadsheets/d/1SX6NBoVAgQJ6U1MVXOaj8PK2l7WJ3RER9xtqwdhxkhw/edit?usp=sharing"",""เพชรบุรี!L430"")"),34340)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IFERROR(__xludf.DUMMYFUNCTION("IMPORTRANGE(""https://docs.google.com/spreadsheets/d/1SX6NBoVAgQJ6U1MVXOaj8PK2l7WJ3RER9xtqwdhxkhw/edit?usp=sharing"",""เพชรบุรี!M430"")"),18805)</f>
        <v>18805</v>
      </c>
      <c r="O535" s="169">
        <f t="shared" ca="1" si="118"/>
        <v>54.761211415259176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IFERROR(__xludf.DUMMYFUNCTION("IMPORTRANGE(""https://docs.google.com/spreadsheets/d/1SX6NBoVAgQJ6U1MVXOaj8PK2l7WJ3RER9xtqwdhxkhw/edit?usp=sharing"",""เพชรบุรี!L431"")"),0)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IFERROR(__xludf.DUMMYFUNCTION("IMPORTRANGE(""https://docs.google.com/spreadsheets/d/1SX6NBoVAgQJ6U1MVXOaj8PK2l7WJ3RER9xtqwdhxkhw/edit?usp=sharing"",""เพชรบุรี!M431"")"),0)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IFERROR(__xludf.DUMMYFUNCTION("IMPORTRANGE(""https://docs.google.com/spreadsheets/d/1SX6NBoVAgQJ6U1MVXOaj8PK2l7WJ3RER9xtqwdhxkhw/edit?usp=sharing"",""เพชรบุรี!L432"")"),34340)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IFERROR(__xludf.DUMMYFUNCTION("IMPORTRANGE(""https://docs.google.com/spreadsheets/d/1SX6NBoVAgQJ6U1MVXOaj8PK2l7WJ3RER9xtqwdhxkhw/edit?usp=sharing"",""เพชรบุรี!M432"")"),18805)</f>
        <v>18805</v>
      </c>
      <c r="O537" s="169">
        <f t="shared" ca="1" si="118"/>
        <v>54.761211415259176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IFERROR(__xludf.DUMMYFUNCTION("IMPORTRANGE(""https://docs.google.com/spreadsheets/d/1SX6NBoVAgQJ6U1MVXOaj8PK2l7WJ3RER9xtqwdhxkhw/edit?usp=sharing"",""เพชรบุรี!M433"")"),18805)</f>
        <v>18805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IFERROR(__xludf.DUMMYFUNCTION("IMPORTRANGE(""https://docs.google.com/spreadsheets/d/1SX6NBoVAgQJ6U1MVXOaj8PK2l7WJ3RER9xtqwdhxkhw/edit?usp=sharing"",""เพชรบุรี!M434"")"),0)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IFERROR(__xludf.DUMMYFUNCTION("IMPORTRANGE(""https://docs.google.com/spreadsheets/d/1SX6NBoVAgQJ6U1MVXOaj8PK2l7WJ3RER9xtqwdhxkhw/edit?usp=sharing"",""เพชรบุรี!M435"")"),0)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IFERROR(__xludf.DUMMYFUNCTION("IMPORTRANGE(""https://docs.google.com/spreadsheets/d/1SX6NBoVAgQJ6U1MVXOaj8PK2l7WJ3RER9xtqwdhxkhw/edit?usp=sharing"",""เพชรบุรี!M436"")"),0)</f>
        <v>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IFERROR(__xludf.DUMMYFUNCTION("IMPORTRANGE(""https://docs.google.com/spreadsheets/d/1SX6NBoVAgQJ6U1MVXOaj8PK2l7WJ3RER9xtqwdhxkhw/edit?usp=sharing"",""เพชรบุรี!J438"")"),0)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IFERROR(__xludf.DUMMYFUNCTION("IMPORTRANGE(""https://docs.google.com/spreadsheets/d/1SX6NBoVAgQJ6U1MVXOaj8PK2l7WJ3RER9xtqwdhxkhw/edit?usp=sharing"",""เพชรบุรี!J439"")"),1)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IFERROR(__xludf.DUMMYFUNCTION("IMPORTRANGE(""https://docs.google.com/spreadsheets/d/1SX6NBoVAgQJ6U1MVXOaj8PK2l7WJ3RER9xtqwdhxkhw/edit?usp=sharing"",""เพชรบุรี!J440"")"),1)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IFERROR(__xludf.DUMMYFUNCTION("IMPORTRANGE(""https://docs.google.com/spreadsheets/d/1SX6NBoVAgQJ6U1MVXOaj8PK2l7WJ3RER9xtqwdhxkhw/edit?usp=sharing"",""เพชรบุรี!J441"")"),1)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IFERROR(__xludf.DUMMYFUNCTION("IMPORTRANGE(""https://docs.google.com/spreadsheets/d/1SX6NBoVAgQJ6U1MVXOaj8PK2l7WJ3RER9xtqwdhxkhw/edit?usp=sharing"",""เพชรบุรี!I442"")"),22)</f>
        <v>22</v>
      </c>
      <c r="J547" s="189">
        <f ca="1">IFERROR(__xludf.DUMMYFUNCTION("IMPORTRANGE(""https://docs.google.com/spreadsheets/d/1SX6NBoVAgQJ6U1MVXOaj8PK2l7WJ3RER9xtqwdhxkhw/edit?usp=sharing"",""เพชรบุรี!J442"")"),22)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IFERROR(__xludf.DUMMYFUNCTION("IMPORTRANGE(""https://docs.google.com/spreadsheets/d/1SX6NBoVAgQJ6U1MVXOaj8PK2l7WJ3RER9xtqwdhxkhw/edit?usp=sharing"",""เพชรบุรี!J166"")"),0)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IFERROR(__xludf.DUMMYFUNCTION("IMPORTRANGE(""https://docs.google.com/spreadsheets/d/1SX6NBoVAgQJ6U1MVXOaj8PK2l7WJ3RER9xtqwdhxkhw/edit?usp=sharing"",""เพชรบุรี!J444"")"),0)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IFERROR(__xludf.DUMMYFUNCTION("IMPORTRANGE(""https://docs.google.com/spreadsheets/d/1SX6NBoVAgQJ6U1MVXOaj8PK2l7WJ3RER9xtqwdhxkhw/edit?usp=sharing"",""เพชรบุรี!J445"")"),0)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IFERROR(__xludf.DUMMYFUNCTION("IMPORTRANGE(""https://docs.google.com/spreadsheets/d/1SX6NBoVAgQJ6U1MVXOaj8PK2l7WJ3RER9xtqwdhxkhw/edit?usp=sharing"",""เพชรบุรี!I446"")"),0)</f>
        <v>0</v>
      </c>
      <c r="J551" s="410">
        <f ca="1">IFERROR(__xludf.DUMMYFUNCTION("IMPORTRANGE(""https://docs.google.com/spreadsheets/d/1SX6NBoVAgQJ6U1MVXOaj8PK2l7WJ3RER9xtqwdhxkhw/edit?usp=sharing"",""เพชรบุรี!J446"")"),0)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IFERROR(__xludf.DUMMYFUNCTION("IMPORTRANGE(""https://docs.google.com/spreadsheets/d/1SX6NBoVAgQJ6U1MVXOaj8PK2l7WJ3RER9xtqwdhxkhw/edit?usp=sharing"",""เพชรบุรี!L446"")"),0)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IFERROR(__xludf.DUMMYFUNCTION("IMPORTRANGE(""https://docs.google.com/spreadsheets/d/1SX6NBoVAgQJ6U1MVXOaj8PK2l7WJ3RER9xtqwdhxkhw/edit?usp=sharing"",""เพชรบุรี!M446"")"),0)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IFERROR(__xludf.DUMMYFUNCTION("IMPORTRANGE(""https://docs.google.com/spreadsheets/d/1SX6NBoVAgQJ6U1MVXOaj8PK2l7WJ3RER9xtqwdhxkhw/edit?usp=sharing"",""เพชรบุรี!L447"")"),0)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IFERROR(__xludf.DUMMYFUNCTION("IMPORTRANGE(""https://docs.google.com/spreadsheets/d/1SX6NBoVAgQJ6U1MVXOaj8PK2l7WJ3RER9xtqwdhxkhw/edit?usp=sharing"",""เพชรบุรี!M447"")"),0)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IFERROR(__xludf.DUMMYFUNCTION("IMPORTRANGE(""https://docs.google.com/spreadsheets/d/1SX6NBoVAgQJ6U1MVXOaj8PK2l7WJ3RER9xtqwdhxkhw/edit?usp=sharing"",""เพชรบุรี!L448"")"),0)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IFERROR(__xludf.DUMMYFUNCTION("IMPORTRANGE(""https://docs.google.com/spreadsheets/d/1SX6NBoVAgQJ6U1MVXOaj8PK2l7WJ3RER9xtqwdhxkhw/edit?usp=sharing"",""เพชรบุรี!M448"")"),0)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IFERROR(__xludf.DUMMYFUNCTION("IMPORTRANGE(""https://docs.google.com/spreadsheets/d/1SX6NBoVAgQJ6U1MVXOaj8PK2l7WJ3RER9xtqwdhxkhw/edit?usp=sharing"",""เพชรบุรี!L449"")"),0)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IFERROR(__xludf.DUMMYFUNCTION("IMPORTRANGE(""https://docs.google.com/spreadsheets/d/1SX6NBoVAgQJ6U1MVXOaj8PK2l7WJ3RER9xtqwdhxkhw/edit?usp=sharing"",""เพชรบุรี!M449"")"),0)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IFERROR(__xludf.DUMMYFUNCTION("IMPORTRANGE(""https://docs.google.com/spreadsheets/d/1SX6NBoVAgQJ6U1MVXOaj8PK2l7WJ3RER9xtqwdhxkhw/edit?usp=sharing"",""เพชรบุรี!L450"")"),0)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IFERROR(__xludf.DUMMYFUNCTION("IMPORTRANGE(""https://docs.google.com/spreadsheets/d/1SX6NBoVAgQJ6U1MVXOaj8PK2l7WJ3RER9xtqwdhxkhw/edit?usp=sharing"",""เพชรบุรี!M450"")"),0)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IFERROR(__xludf.DUMMYFUNCTION("IMPORTRANGE(""https://docs.google.com/spreadsheets/d/1SX6NBoVAgQJ6U1MVXOaj8PK2l7WJ3RER9xtqwdhxkhw/edit?usp=sharing"",""เพชรบุรี!M451"")"),0)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IFERROR(__xludf.DUMMYFUNCTION("IMPORTRANGE(""https://docs.google.com/spreadsheets/d/1SX6NBoVAgQJ6U1MVXOaj8PK2l7WJ3RER9xtqwdhxkhw/edit?usp=sharing"",""เพชรบุรี!M452"")"),0)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IFERROR(__xludf.DUMMYFUNCTION("IMPORTRANGE(""https://docs.google.com/spreadsheets/d/1SX6NBoVAgQJ6U1MVXOaj8PK2l7WJ3RER9xtqwdhxkhw/edit?usp=sharing"",""เพชรบุรี!M453"")"),0)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IFERROR(__xludf.DUMMYFUNCTION("IMPORTRANGE(""https://docs.google.com/spreadsheets/d/1SX6NBoVAgQJ6U1MVXOaj8PK2l7WJ3RER9xtqwdhxkhw/edit?usp=sharing"",""เพชรบุรี!M454"")"),0)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IFERROR(__xludf.DUMMYFUNCTION("IMPORTRANGE(""https://docs.google.com/spreadsheets/d/1SX6NBoVAgQJ6U1MVXOaj8PK2l7WJ3RER9xtqwdhxkhw/edit?usp=sharing"",""เพชรบุรี!I455"")"),0)</f>
        <v>0</v>
      </c>
      <c r="J560" s="162">
        <f ca="1">IFERROR(__xludf.DUMMYFUNCTION("IMPORTRANGE(""https://docs.google.com/spreadsheets/d/1SX6NBoVAgQJ6U1MVXOaj8PK2l7WJ3RER9xtqwdhxkhw/edit?usp=sharing"",""เพชรบุรี!J455"")"),0)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IFERROR(__xludf.DUMMYFUNCTION("IMPORTRANGE(""https://docs.google.com/spreadsheets/d/1SX6NBoVAgQJ6U1MVXOaj8PK2l7WJ3RER9xtqwdhxkhw/edit?usp=sharing"",""เพชรบุรี!I456"")"),0)</f>
        <v>0</v>
      </c>
      <c r="J561" s="204">
        <f ca="1">IFERROR(__xludf.DUMMYFUNCTION("IMPORTRANGE(""https://docs.google.com/spreadsheets/d/1SX6NBoVAgQJ6U1MVXOaj8PK2l7WJ3RER9xtqwdhxkhw/edit?usp=sharing"",""เพชรบุรี!J456"")"),0)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IFERROR(__xludf.DUMMYFUNCTION("IMPORTRANGE(""https://docs.google.com/spreadsheets/d/1SX6NBoVAgQJ6U1MVXOaj8PK2l7WJ3RER9xtqwdhxkhw/edit?usp=sharing"",""เพชรบุรี!I459"")"),150)</f>
        <v>150</v>
      </c>
      <c r="J564" s="371">
        <f ca="1">IFERROR(__xludf.DUMMYFUNCTION("IMPORTRANGE(""https://docs.google.com/spreadsheets/d/1SX6NBoVAgQJ6U1MVXOaj8PK2l7WJ3RER9xtqwdhxkhw/edit?usp=sharing"",""เพชรบุรี!J459"")"),315)</f>
        <v>315</v>
      </c>
      <c r="K564" s="372">
        <f ca="1">IF(I564&gt;0,J564*100/I564,0)</f>
        <v>210</v>
      </c>
      <c r="L564" s="373">
        <f ca="1">IFERROR(__xludf.DUMMYFUNCTION("IMPORTRANGE(""https://docs.google.com/spreadsheets/d/1SX6NBoVAgQJ6U1MVXOaj8PK2l7WJ3RER9xtqwdhxkhw/edit?usp=sharing"",""เพชรบุรี!L459"")"),122400)</f>
        <v>122400</v>
      </c>
      <c r="M564" s="373"/>
      <c r="N564" s="373">
        <f ca="1">IFERROR(__xludf.DUMMYFUNCTION("IMPORTRANGE(""https://docs.google.com/spreadsheets/d/1SX6NBoVAgQJ6U1MVXOaj8PK2l7WJ3RER9xtqwdhxkhw/edit?usp=sharing"",""เพชรบุรี!M459"")"),55000)</f>
        <v>55000</v>
      </c>
      <c r="O564" s="373">
        <f t="shared" ref="O564:O568" ca="1" si="122">+IF(L564&gt;0,N564*100/L564,0)</f>
        <v>44.934640522875817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IFERROR(__xludf.DUMMYFUNCTION("IMPORTRANGE(""https://docs.google.com/spreadsheets/d/1SX6NBoVAgQJ6U1MVXOaj8PK2l7WJ3RER9xtqwdhxkhw/edit?usp=sharing"",""เพชรบุรี!L460"")"),0)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IFERROR(__xludf.DUMMYFUNCTION("IMPORTRANGE(""https://docs.google.com/spreadsheets/d/1SX6NBoVAgQJ6U1MVXOaj8PK2l7WJ3RER9xtqwdhxkhw/edit?usp=sharing"",""เพชรบุรี!M460"")"),0)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IFERROR(__xludf.DUMMYFUNCTION("IMPORTRANGE(""https://docs.google.com/spreadsheets/d/1SX6NBoVAgQJ6U1MVXOaj8PK2l7WJ3RER9xtqwdhxkhw/edit?usp=sharing"",""เพชรบุรี!L461"")"),122400)</f>
        <v>122400</v>
      </c>
      <c r="M566" s="165"/>
      <c r="N566" s="169">
        <f ca="1">IFERROR(__xludf.DUMMYFUNCTION("IMPORTRANGE(""https://docs.google.com/spreadsheets/d/1SX6NBoVAgQJ6U1MVXOaj8PK2l7WJ3RER9xtqwdhxkhw/edit?usp=sharing"",""เพชรบุรี!M461"")"),55000)</f>
        <v>55000</v>
      </c>
      <c r="O566" s="169">
        <f t="shared" ca="1" si="122"/>
        <v>44.934640522875817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IFERROR(__xludf.DUMMYFUNCTION("IMPORTRANGE(""https://docs.google.com/spreadsheets/d/1SX6NBoVAgQJ6U1MVXOaj8PK2l7WJ3RER9xtqwdhxkhw/edit?usp=sharing"",""เพชรบุรี!L462"")"),0)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IFERROR(__xludf.DUMMYFUNCTION("IMPORTRANGE(""https://docs.google.com/spreadsheets/d/1SX6NBoVAgQJ6U1MVXOaj8PK2l7WJ3RER9xtqwdhxkhw/edit?usp=sharing"",""เพชรบุรี!M462"")"),0)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IFERROR(__xludf.DUMMYFUNCTION("IMPORTRANGE(""https://docs.google.com/spreadsheets/d/1SX6NBoVAgQJ6U1MVXOaj8PK2l7WJ3RER9xtqwdhxkhw/edit?usp=sharing"",""เพชรบุรี!L463"")"),122400)</f>
        <v>122400</v>
      </c>
      <c r="M568" s="169"/>
      <c r="N568" s="169">
        <f ca="1">IFERROR(__xludf.DUMMYFUNCTION("IMPORTRANGE(""https://docs.google.com/spreadsheets/d/1SX6NBoVAgQJ6U1MVXOaj8PK2l7WJ3RER9xtqwdhxkhw/edit?usp=sharing"",""เพชรบุรี!M463"")"),55000)</f>
        <v>55000</v>
      </c>
      <c r="O568" s="169">
        <f t="shared" ca="1" si="122"/>
        <v>44.934640522875817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IFERROR(__xludf.DUMMYFUNCTION("IMPORTRANGE(""https://docs.google.com/spreadsheets/d/1SX6NBoVAgQJ6U1MVXOaj8PK2l7WJ3RER9xtqwdhxkhw/edit?usp=sharing"",""เพชรบุรี!M464"")"),0)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IFERROR(__xludf.DUMMYFUNCTION("IMPORTRANGE(""https://docs.google.com/spreadsheets/d/1SX6NBoVAgQJ6U1MVXOaj8PK2l7WJ3RER9xtqwdhxkhw/edit?usp=sharing"",""เพชรบุรี!M465"")"),0)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IFERROR(__xludf.DUMMYFUNCTION("IMPORTRANGE(""https://docs.google.com/spreadsheets/d/1SX6NBoVAgQJ6U1MVXOaj8PK2l7WJ3RER9xtqwdhxkhw/edit?usp=sharing"",""เพชรบุรี!M466"")"),55000)</f>
        <v>55000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IFERROR(__xludf.DUMMYFUNCTION("IMPORTRANGE(""https://docs.google.com/spreadsheets/d/1SX6NBoVAgQJ6U1MVXOaj8PK2l7WJ3RER9xtqwdhxkhw/edit?usp=sharing"",""เพชรบุรี!M467"")"),0)</f>
        <v>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IFERROR(__xludf.DUMMYFUNCTION("IMPORTRANGE(""https://docs.google.com/spreadsheets/d/1SX6NBoVAgQJ6U1MVXOaj8PK2l7WJ3RER9xtqwdhxkhw/edit?usp=sharing"",""เพชรบุรี!I468"")"),150)</f>
        <v>150</v>
      </c>
      <c r="J573" s="420">
        <f ca="1">IFERROR(__xludf.DUMMYFUNCTION("IMPORTRANGE(""https://docs.google.com/spreadsheets/d/1SX6NBoVAgQJ6U1MVXOaj8PK2l7WJ3RER9xtqwdhxkhw/edit?usp=sharing"",""เพชรบุรี!J468"")"),315)</f>
        <v>315</v>
      </c>
      <c r="K573" s="202">
        <f ca="1">IF(I573&gt;0,J573*100/I573,0)</f>
        <v>210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IFERROR(__xludf.DUMMYFUNCTION("IMPORTRANGE(""https://docs.google.com/spreadsheets/d/1SX6NBoVAgQJ6U1MVXOaj8PK2l7WJ3RER9xtqwdhxkhw/edit?usp=sharing"",""เพชรบุรี!I470"")"),0)</f>
        <v>0</v>
      </c>
      <c r="J575" s="198">
        <f ca="1">IFERROR(__xludf.DUMMYFUNCTION("IMPORTRANGE(""https://docs.google.com/spreadsheets/d/1SX6NBoVAgQJ6U1MVXOaj8PK2l7WJ3RER9xtqwdhxkhw/edit?usp=sharing"",""เพชรบุรี!J470"")"),0)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IFERROR(__xludf.DUMMYFUNCTION("IMPORTRANGE(""https://docs.google.com/spreadsheets/d/1SX6NBoVAgQJ6U1MVXOaj8PK2l7WJ3RER9xtqwdhxkhw/edit?usp=sharing"",""เพชรบุรี!I471"")"),0)</f>
        <v>0</v>
      </c>
      <c r="J576" s="198">
        <f ca="1">IFERROR(__xludf.DUMMYFUNCTION("IMPORTRANGE(""https://docs.google.com/spreadsheets/d/1SX6NBoVAgQJ6U1MVXOaj8PK2l7WJ3RER9xtqwdhxkhw/edit?usp=sharing"",""เพชรบุรี!J471"")"),0)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IFERROR(__xludf.DUMMYFUNCTION("IMPORTRANGE(""https://docs.google.com/spreadsheets/d/1SX6NBoVAgQJ6U1MVXOaj8PK2l7WJ3RER9xtqwdhxkhw/edit?usp=sharing"",""เพชรบุรี!I472"")"),0)</f>
        <v>0</v>
      </c>
      <c r="J577" s="189">
        <f ca="1">IFERROR(__xludf.DUMMYFUNCTION("IMPORTRANGE(""https://docs.google.com/spreadsheets/d/1SX6NBoVAgQJ6U1MVXOaj8PK2l7WJ3RER9xtqwdhxkhw/edit?usp=sharing"",""เพชรบุรี!J472"")"),315)</f>
        <v>315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IFERROR(__xludf.DUMMYFUNCTION("IMPORTRANGE(""https://docs.google.com/spreadsheets/d/1SX6NBoVAgQJ6U1MVXOaj8PK2l7WJ3RER9xtqwdhxkhw/edit?usp=sharing"",""เพชรบุรี!I473"")"),0)</f>
        <v>0</v>
      </c>
      <c r="J578" s="198">
        <f ca="1">IFERROR(__xludf.DUMMYFUNCTION("IMPORTRANGE(""https://docs.google.com/spreadsheets/d/1SX6NBoVAgQJ6U1MVXOaj8PK2l7WJ3RER9xtqwdhxkhw/edit?usp=sharing"",""เพชรบุรี!J473"")"),0)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IFERROR(__xludf.DUMMYFUNCTION("IMPORTRANGE(""https://docs.google.com/spreadsheets/d/1SX6NBoVAgQJ6U1MVXOaj8PK2l7WJ3RER9xtqwdhxkhw/edit?usp=sharing"",""เพชรบุรี!I474"")"),0)</f>
        <v>0</v>
      </c>
      <c r="J579" s="198">
        <f ca="1">IFERROR(__xludf.DUMMYFUNCTION("IMPORTRANGE(""https://docs.google.com/spreadsheets/d/1SX6NBoVAgQJ6U1MVXOaj8PK2l7WJ3RER9xtqwdhxkhw/edit?usp=sharing"",""เพชรบุรี!J474"")"),0)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IFERROR(__xludf.DUMMYFUNCTION("IMPORTRANGE(""https://docs.google.com/spreadsheets/d/1SX6NBoVAgQJ6U1MVXOaj8PK2l7WJ3RER9xtqwdhxkhw/edit?usp=sharing"",""เพชรบุรี!I475"")"),0)</f>
        <v>0</v>
      </c>
      <c r="J580" s="371">
        <f ca="1">IFERROR(__xludf.DUMMYFUNCTION("IMPORTRANGE(""https://docs.google.com/spreadsheets/d/1SX6NBoVAgQJ6U1MVXOaj8PK2l7WJ3RER9xtqwdhxkhw/edit?usp=sharing"",""เพชรบุรี!J475"")"),0)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IFERROR(__xludf.DUMMYFUNCTION("IMPORTRANGE(""https://docs.google.com/spreadsheets/d/1SX6NBoVAgQJ6U1MVXOaj8PK2l7WJ3RER9xtqwdhxkhw/edit?usp=sharing"",""เพชรบุรี!L475"")"),0)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IFERROR(__xludf.DUMMYFUNCTION("IMPORTRANGE(""https://docs.google.com/spreadsheets/d/1SX6NBoVAgQJ6U1MVXOaj8PK2l7WJ3RER9xtqwdhxkhw/edit?usp=sharing"",""เพชรบุรี!M475"")"),0)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IFERROR(__xludf.DUMMYFUNCTION("IMPORTRANGE(""https://docs.google.com/spreadsheets/d/1SX6NBoVAgQJ6U1MVXOaj8PK2l7WJ3RER9xtqwdhxkhw/edit?usp=sharing"",""เพชรบุรี!L476"")"),0)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IFERROR(__xludf.DUMMYFUNCTION("IMPORTRANGE(""https://docs.google.com/spreadsheets/d/1SX6NBoVAgQJ6U1MVXOaj8PK2l7WJ3RER9xtqwdhxkhw/edit?usp=sharing"",""เพชรบุรี!M476"")"),0)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IFERROR(__xludf.DUMMYFUNCTION("IMPORTRANGE(""https://docs.google.com/spreadsheets/d/1SX6NBoVAgQJ6U1MVXOaj8PK2l7WJ3RER9xtqwdhxkhw/edit?usp=sharing"",""เพชรบุรี!L477"")"),0)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IFERROR(__xludf.DUMMYFUNCTION("IMPORTRANGE(""https://docs.google.com/spreadsheets/d/1SX6NBoVAgQJ6U1MVXOaj8PK2l7WJ3RER9xtqwdhxkhw/edit?usp=sharing"",""เพชรบุรี!M477"")"),0)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IFERROR(__xludf.DUMMYFUNCTION("IMPORTRANGE(""https://docs.google.com/spreadsheets/d/1SX6NBoVAgQJ6U1MVXOaj8PK2l7WJ3RER9xtqwdhxkhw/edit?usp=sharing"",""เพชรบุรี!L478"")"),0)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IFERROR(__xludf.DUMMYFUNCTION("IMPORTRANGE(""https://docs.google.com/spreadsheets/d/1SX6NBoVAgQJ6U1MVXOaj8PK2l7WJ3RER9xtqwdhxkhw/edit?usp=sharing"",""เพชรบุรี!M478"")"),0)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IFERROR(__xludf.DUMMYFUNCTION("IMPORTRANGE(""https://docs.google.com/spreadsheets/d/1SX6NBoVAgQJ6U1MVXOaj8PK2l7WJ3RER9xtqwdhxkhw/edit?usp=sharing"",""เพชรบุรี!L479"")"),0)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IFERROR(__xludf.DUMMYFUNCTION("IMPORTRANGE(""https://docs.google.com/spreadsheets/d/1SX6NBoVAgQJ6U1MVXOaj8PK2l7WJ3RER9xtqwdhxkhw/edit?usp=sharing"",""เพชรบุรี!M479"")"),0)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IFERROR(__xludf.DUMMYFUNCTION("IMPORTRANGE(""https://docs.google.com/spreadsheets/d/1SX6NBoVAgQJ6U1MVXOaj8PK2l7WJ3RER9xtqwdhxkhw/edit?usp=sharing"",""เพชรบุรี!M480"")"),0)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IFERROR(__xludf.DUMMYFUNCTION("IMPORTRANGE(""https://docs.google.com/spreadsheets/d/1SX6NBoVAgQJ6U1MVXOaj8PK2l7WJ3RER9xtqwdhxkhw/edit?usp=sharing"",""เพชรบุรี!M481"")"),0)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IFERROR(__xludf.DUMMYFUNCTION("IMPORTRANGE(""https://docs.google.com/spreadsheets/d/1SX6NBoVAgQJ6U1MVXOaj8PK2l7WJ3RER9xtqwdhxkhw/edit?usp=sharing"",""เพชรบุรี!M482"")"),0)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IFERROR(__xludf.DUMMYFUNCTION("IMPORTRANGE(""https://docs.google.com/spreadsheets/d/1SX6NBoVAgQJ6U1MVXOaj8PK2l7WJ3RER9xtqwdhxkhw/edit?usp=sharing"",""เพชรบุรี!M483"")"),0)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IFERROR(__xludf.DUMMYFUNCTION("IMPORTRANGE(""https://docs.google.com/spreadsheets/d/1SX6NBoVAgQJ6U1MVXOaj8PK2l7WJ3RER9xtqwdhxkhw/edit?usp=sharing"",""เพชรบุรี!I484"")"),0)</f>
        <v>0</v>
      </c>
      <c r="J589" s="188">
        <f ca="1">IFERROR(__xludf.DUMMYFUNCTION("IMPORTRANGE(""https://docs.google.com/spreadsheets/d/1SX6NBoVAgQJ6U1MVXOaj8PK2l7WJ3RER9xtqwdhxkhw/edit?usp=sharing"",""เพชรบุรี!J484"")"),0)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IFERROR(__xludf.DUMMYFUNCTION("IMPORTRANGE(""https://docs.google.com/spreadsheets/d/1SX6NBoVAgQJ6U1MVXOaj8PK2l7WJ3RER9xtqwdhxkhw/edit?usp=sharing"",""เพชรบุรี!I485"")"),0)</f>
        <v>0</v>
      </c>
      <c r="J590" s="188">
        <f ca="1">IFERROR(__xludf.DUMMYFUNCTION("IMPORTRANGE(""https://docs.google.com/spreadsheets/d/1SX6NBoVAgQJ6U1MVXOaj8PK2l7WJ3RER9xtqwdhxkhw/edit?usp=sharing"",""เพชรบุรี!J485"")"),0)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IFERROR(__xludf.DUMMYFUNCTION("IMPORTRANGE(""https://docs.google.com/spreadsheets/d/1SX6NBoVAgQJ6U1MVXOaj8PK2l7WJ3RER9xtqwdhxkhw/edit?usp=sharing"",""เพชรบุรี!I486"")"),0)</f>
        <v>0</v>
      </c>
      <c r="J591" s="188">
        <f ca="1">IFERROR(__xludf.DUMMYFUNCTION("IMPORTRANGE(""https://docs.google.com/spreadsheets/d/1SX6NBoVAgQJ6U1MVXOaj8PK2l7WJ3RER9xtqwdhxkhw/edit?usp=sharing"",""เพชรบุรี!J486"")"),0)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IFERROR(__xludf.DUMMYFUNCTION("IMPORTRANGE(""https://docs.google.com/spreadsheets/d/1SX6NBoVAgQJ6U1MVXOaj8PK2l7WJ3RER9xtqwdhxkhw/edit?usp=sharing"",""เพชรบุรี!I487"")"),0)</f>
        <v>0</v>
      </c>
      <c r="J592" s="188">
        <f ca="1">IFERROR(__xludf.DUMMYFUNCTION("IMPORTRANGE(""https://docs.google.com/spreadsheets/d/1SX6NBoVAgQJ6U1MVXOaj8PK2l7WJ3RER9xtqwdhxkhw/edit?usp=sharing"",""เพชรบุรี!J487"")"),0)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IFERROR(__xludf.DUMMYFUNCTION("IMPORTRANGE(""https://docs.google.com/spreadsheets/d/1SX6NBoVAgQJ6U1MVXOaj8PK2l7WJ3RER9xtqwdhxkhw/edit?usp=sharing"",""เพชรบุรี!I488"")"),0)</f>
        <v>0</v>
      </c>
      <c r="J593" s="188">
        <f ca="1">IFERROR(__xludf.DUMMYFUNCTION("IMPORTRANGE(""https://docs.google.com/spreadsheets/d/1SX6NBoVAgQJ6U1MVXOaj8PK2l7WJ3RER9xtqwdhxkhw/edit?usp=sharing"",""เพชรบุรี!J488"")"),0)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IFERROR(__xludf.DUMMYFUNCTION("IMPORTRANGE(""https://docs.google.com/spreadsheets/d/1SX6NBoVAgQJ6U1MVXOaj8PK2l7WJ3RER9xtqwdhxkhw/edit?usp=sharing"",""เพชรบุรี!I489"")"),0)</f>
        <v>0</v>
      </c>
      <c r="J594" s="188">
        <f ca="1">IFERROR(__xludf.DUMMYFUNCTION("IMPORTRANGE(""https://docs.google.com/spreadsheets/d/1SX6NBoVAgQJ6U1MVXOaj8PK2l7WJ3RER9xtqwdhxkhw/edit?usp=sharing"",""เพชรบุรี!J489"")"),0)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IFERROR(__xludf.DUMMYFUNCTION("IMPORTRANGE(""https://docs.google.com/spreadsheets/d/1SX6NBoVAgQJ6U1MVXOaj8PK2l7WJ3RER9xtqwdhxkhw/edit?usp=sharing"",""เพชรบุรี!I490"")"),0)</f>
        <v>0</v>
      </c>
      <c r="J595" s="188">
        <f ca="1">IFERROR(__xludf.DUMMYFUNCTION("IMPORTRANGE(""https://docs.google.com/spreadsheets/d/1SX6NBoVAgQJ6U1MVXOaj8PK2l7WJ3RER9xtqwdhxkhw/edit?usp=sharing"",""เพชรบุรี!J490"")"),0)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IFERROR(__xludf.DUMMYFUNCTION("IMPORTRANGE(""https://docs.google.com/spreadsheets/d/1SX6NBoVAgQJ6U1MVXOaj8PK2l7WJ3RER9xtqwdhxkhw/edit?usp=sharing"",""เพชรบุรี!I491"")"),0)</f>
        <v>0</v>
      </c>
      <c r="J596" s="241">
        <f ca="1">IFERROR(__xludf.DUMMYFUNCTION("IMPORTRANGE(""https://docs.google.com/spreadsheets/d/1SX6NBoVAgQJ6U1MVXOaj8PK2l7WJ3RER9xtqwdhxkhw/edit?usp=sharing"",""เพชรบุรี!J491"")"),0)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IFERROR(__xludf.DUMMYFUNCTION("IMPORTRANGE(""https://docs.google.com/spreadsheets/d/1SX6NBoVAgQJ6U1MVXOaj8PK2l7WJ3RER9xtqwdhxkhw/edit?usp=sharing"",""เพชรบุรี!I492"")"),50)</f>
        <v>50</v>
      </c>
      <c r="J597" s="487">
        <f ca="1">IFERROR(__xludf.DUMMYFUNCTION("IMPORTRANGE(""https://docs.google.com/spreadsheets/d/1SX6NBoVAgQJ6U1MVXOaj8PK2l7WJ3RER9xtqwdhxkhw/edit?usp=sharing"",""เพชรบุรี!J492"")"),0)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IFERROR(__xludf.DUMMYFUNCTION("IMPORTRANGE(""https://docs.google.com/spreadsheets/d/1SX6NBoVAgQJ6U1MVXOaj8PK2l7WJ3RER9xtqwdhxkhw/edit?usp=sharing"",""เพชรบุรี!L492"")"),4550)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IFERROR(__xludf.DUMMYFUNCTION("IMPORTRANGE(""https://docs.google.com/spreadsheets/d/1SX6NBoVAgQJ6U1MVXOaj8PK2l7WJ3RER9xtqwdhxkhw/edit?usp=sharing"",""เพชรบุรี!M492"")"),950)</f>
        <v>950</v>
      </c>
      <c r="O597" s="412">
        <f t="shared" ref="O597:O601" ca="1" si="126">+IF(L597&gt;0,N597*100/L597,0)</f>
        <v>20.87912087912088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IFERROR(__xludf.DUMMYFUNCTION("IMPORTRANGE(""https://docs.google.com/spreadsheets/d/1SX6NBoVAgQJ6U1MVXOaj8PK2l7WJ3RER9xtqwdhxkhw/edit?usp=sharing"",""เพชรบุรี!L493"")"),0)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IFERROR(__xludf.DUMMYFUNCTION("IMPORTRANGE(""https://docs.google.com/spreadsheets/d/1SX6NBoVAgQJ6U1MVXOaj8PK2l7WJ3RER9xtqwdhxkhw/edit?usp=sharing"",""เพชรบุรี!M493"")"),0)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IFERROR(__xludf.DUMMYFUNCTION("IMPORTRANGE(""https://docs.google.com/spreadsheets/d/1SX6NBoVAgQJ6U1MVXOaj8PK2l7WJ3RER9xtqwdhxkhw/edit?usp=sharing"",""เพชรบุรี!L494"")"),4550)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IFERROR(__xludf.DUMMYFUNCTION("IMPORTRANGE(""https://docs.google.com/spreadsheets/d/1SX6NBoVAgQJ6U1MVXOaj8PK2l7WJ3RER9xtqwdhxkhw/edit?usp=sharing"",""เพชรบุรี!M494"")"),950)</f>
        <v>950</v>
      </c>
      <c r="O599" s="169">
        <f t="shared" ca="1" si="126"/>
        <v>20.87912087912088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IFERROR(__xludf.DUMMYFUNCTION("IMPORTRANGE(""https://docs.google.com/spreadsheets/d/1SX6NBoVAgQJ6U1MVXOaj8PK2l7WJ3RER9xtqwdhxkhw/edit?usp=sharing"",""เพชรบุรี!L495"")"),0)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IFERROR(__xludf.DUMMYFUNCTION("IMPORTRANGE(""https://docs.google.com/spreadsheets/d/1SX6NBoVAgQJ6U1MVXOaj8PK2l7WJ3RER9xtqwdhxkhw/edit?usp=sharing"",""เพชรบุรี!M495"")"),0)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IFERROR(__xludf.DUMMYFUNCTION("IMPORTRANGE(""https://docs.google.com/spreadsheets/d/1SX6NBoVAgQJ6U1MVXOaj8PK2l7WJ3RER9xtqwdhxkhw/edit?usp=sharing"",""เพชรบุรี!L496"")"),4550)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IFERROR(__xludf.DUMMYFUNCTION("IMPORTRANGE(""https://docs.google.com/spreadsheets/d/1SX6NBoVAgQJ6U1MVXOaj8PK2l7WJ3RER9xtqwdhxkhw/edit?usp=sharing"",""เพชรบุรี!M496"")"),950)</f>
        <v>950</v>
      </c>
      <c r="O601" s="169">
        <f t="shared" ca="1" si="126"/>
        <v>20.87912087912088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IFERROR(__xludf.DUMMYFUNCTION("IMPORTRANGE(""https://docs.google.com/spreadsheets/d/1SX6NBoVAgQJ6U1MVXOaj8PK2l7WJ3RER9xtqwdhxkhw/edit?usp=sharing"",""เพชรบุรี!M497"")"),0)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IFERROR(__xludf.DUMMYFUNCTION("IMPORTRANGE(""https://docs.google.com/spreadsheets/d/1SX6NBoVAgQJ6U1MVXOaj8PK2l7WJ3RER9xtqwdhxkhw/edit?usp=sharing"",""เพชรบุรี!M498"")"),0)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IFERROR(__xludf.DUMMYFUNCTION("IMPORTRANGE(""https://docs.google.com/spreadsheets/d/1SX6NBoVAgQJ6U1MVXOaj8PK2l7WJ3RER9xtqwdhxkhw/edit?usp=sharing"",""เพชรบุรี!M499"")"),0)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IFERROR(__xludf.DUMMYFUNCTION("IMPORTRANGE(""https://docs.google.com/spreadsheets/d/1SX6NBoVAgQJ6U1MVXOaj8PK2l7WJ3RER9xtqwdhxkhw/edit?usp=sharing"",""เพชรบุรี!M500"")"),950)</f>
        <v>950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IFERROR(__xludf.DUMMYFUNCTION("IMPORTRANGE(""https://docs.google.com/spreadsheets/d/1SX6NBoVAgQJ6U1MVXOaj8PK2l7WJ3RER9xtqwdhxkhw/edit?usp=sharing"",""เพชรบุรี!J502"")"),0)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IFERROR(__xludf.DUMMYFUNCTION("IMPORTRANGE(""https://docs.google.com/spreadsheets/d/1SX6NBoVAgQJ6U1MVXOaj8PK2l7WJ3RER9xtqwdhxkhw/edit?usp=sharing"",""เพชรบุรี!J503"")"),1)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IFERROR(__xludf.DUMMYFUNCTION("IMPORTRANGE(""https://docs.google.com/spreadsheets/d/1SX6NBoVAgQJ6U1MVXOaj8PK2l7WJ3RER9xtqwdhxkhw/edit?usp=sharing"",""เพชรบุรี!J166"")"),0)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IFERROR(__xludf.DUMMYFUNCTION("IMPORTRANGE(""https://docs.google.com/spreadsheets/d/1SX6NBoVAgQJ6U1MVXOaj8PK2l7WJ3RER9xtqwdhxkhw/edit?usp=sharing"",""เพชรบุรี!J166"")"),0)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IFERROR(__xludf.DUMMYFUNCTION("IMPORTRANGE(""https://docs.google.com/spreadsheets/d/1SX6NBoVAgQJ6U1MVXOaj8PK2l7WJ3RER9xtqwdhxkhw/edit?usp=sharing"",""เพชรบุรี!I506"")"),50)</f>
        <v>50</v>
      </c>
      <c r="J611" s="162">
        <f ca="1">IFERROR(__xludf.DUMMYFUNCTION("IMPORTRANGE(""https://docs.google.com/spreadsheets/d/1SX6NBoVAgQJ6U1MVXOaj8PK2l7WJ3RER9xtqwdhxkhw/edit?usp=sharing"",""เพชรบุรี!J506"")"),0)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IFERROR(__xludf.DUMMYFUNCTION("IMPORTRANGE(""https://docs.google.com/spreadsheets/d/1SX6NBoVAgQJ6U1MVXOaj8PK2l7WJ3RER9xtqwdhxkhw/edit?usp=sharing"",""เพชรบุรี!I507"")"),0)</f>
        <v>0</v>
      </c>
      <c r="J612" s="198">
        <f ca="1">IFERROR(__xludf.DUMMYFUNCTION("IMPORTRANGE(""https://docs.google.com/spreadsheets/d/1SX6NBoVAgQJ6U1MVXOaj8PK2l7WJ3RER9xtqwdhxkhw/edit?usp=sharing"",""เพชรบุรี!J507"")"),0)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IFERROR(__xludf.DUMMYFUNCTION("IMPORTRANGE(""https://docs.google.com/spreadsheets/d/1SX6NBoVAgQJ6U1MVXOaj8PK2l7WJ3RER9xtqwdhxkhw/edit?usp=sharing"",""เพชรบุรี!I508"")"),0)</f>
        <v>0</v>
      </c>
      <c r="J613" s="198">
        <f ca="1">IFERROR(__xludf.DUMMYFUNCTION("IMPORTRANGE(""https://docs.google.com/spreadsheets/d/1SX6NBoVAgQJ6U1MVXOaj8PK2l7WJ3RER9xtqwdhxkhw/edit?usp=sharing"",""เพชรบุรี!J508"")"),0)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IFERROR(__xludf.DUMMYFUNCTION("IMPORTRANGE(""https://docs.google.com/spreadsheets/d/1SX6NBoVAgQJ6U1MVXOaj8PK2l7WJ3RER9xtqwdhxkhw/edit?usp=sharing"",""เพชรบุรี!I509"")"),0)</f>
        <v>0</v>
      </c>
      <c r="J614" s="198">
        <f ca="1">IFERROR(__xludf.DUMMYFUNCTION("IMPORTRANGE(""https://docs.google.com/spreadsheets/d/1SX6NBoVAgQJ6U1MVXOaj8PK2l7WJ3RER9xtqwdhxkhw/edit?usp=sharing"",""เพชรบุรี!J509"")"),0)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IFERROR(__xludf.DUMMYFUNCTION("IMPORTRANGE(""https://docs.google.com/spreadsheets/d/1SX6NBoVAgQJ6U1MVXOaj8PK2l7WJ3RER9xtqwdhxkhw/edit?usp=sharing"",""เพชรบุรี!I510"")"),0)</f>
        <v>0</v>
      </c>
      <c r="J615" s="198">
        <f ca="1">IFERROR(__xludf.DUMMYFUNCTION("IMPORTRANGE(""https://docs.google.com/spreadsheets/d/1SX6NBoVAgQJ6U1MVXOaj8PK2l7WJ3RER9xtqwdhxkhw/edit?usp=sharing"",""เพชรบุรี!J510"")"),0)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IFERROR(__xludf.DUMMYFUNCTION("IMPORTRANGE(""https://docs.google.com/spreadsheets/d/1SX6NBoVAgQJ6U1MVXOaj8PK2l7WJ3RER9xtqwdhxkhw/edit?usp=sharing"",""เพชรบุรี!I511"")"),0)</f>
        <v>0</v>
      </c>
      <c r="J616" s="198">
        <f ca="1">IFERROR(__xludf.DUMMYFUNCTION("IMPORTRANGE(""https://docs.google.com/spreadsheets/d/1SX6NBoVAgQJ6U1MVXOaj8PK2l7WJ3RER9xtqwdhxkhw/edit?usp=sharing"",""เพชรบุรี!J511"")"),0)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IFERROR(__xludf.DUMMYFUNCTION("IMPORTRANGE(""https://docs.google.com/spreadsheets/d/1SX6NBoVAgQJ6U1MVXOaj8PK2l7WJ3RER9xtqwdhxkhw/edit?usp=sharing"",""เพชรบุรี!I512"")"),0)</f>
        <v>0</v>
      </c>
      <c r="J617" s="188">
        <f ca="1">IFERROR(__xludf.DUMMYFUNCTION("IMPORTRANGE(""https://docs.google.com/spreadsheets/d/1SX6NBoVAgQJ6U1MVXOaj8PK2l7WJ3RER9xtqwdhxkhw/edit?usp=sharing"",""เพชรบุรี!J512"")"),0)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IFERROR(__xludf.DUMMYFUNCTION("IMPORTRANGE(""https://docs.google.com/spreadsheets/d/1SX6NBoVAgQJ6U1MVXOaj8PK2l7WJ3RER9xtqwdhxkhw/edit?usp=sharing"",""เพชรบุรี!I513"")"),0)</f>
        <v>0</v>
      </c>
      <c r="J618" s="189">
        <f ca="1">IFERROR(__xludf.DUMMYFUNCTION("IMPORTRANGE(""https://docs.google.com/spreadsheets/d/1SX6NBoVAgQJ6U1MVXOaj8PK2l7WJ3RER9xtqwdhxkhw/edit?usp=sharing"",""เพชรบุรี!J513"")"),0)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IFERROR(__xludf.DUMMYFUNCTION("IMPORTRANGE(""https://docs.google.com/spreadsheets/d/1SX6NBoVAgQJ6U1MVXOaj8PK2l7WJ3RER9xtqwdhxkhw/edit?usp=sharing"",""เพชรบุรี!I514"")"),0)</f>
        <v>0</v>
      </c>
      <c r="J619" s="189">
        <f ca="1">IFERROR(__xludf.DUMMYFUNCTION("IMPORTRANGE(""https://docs.google.com/spreadsheets/d/1SX6NBoVAgQJ6U1MVXOaj8PK2l7WJ3RER9xtqwdhxkhw/edit?usp=sharing"",""เพชรบุรี!J514"")"),0)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IFERROR(__xludf.DUMMYFUNCTION("IMPORTRANGE(""https://docs.google.com/spreadsheets/d/1SX6NBoVAgQJ6U1MVXOaj8PK2l7WJ3RER9xtqwdhxkhw/edit?usp=sharing"",""เพชรบุรี!I515"")"),0)</f>
        <v>0</v>
      </c>
      <c r="J620" s="203">
        <f ca="1">IFERROR(__xludf.DUMMYFUNCTION("IMPORTRANGE(""https://docs.google.com/spreadsheets/d/1SX6NBoVAgQJ6U1MVXOaj8PK2l7WJ3RER9xtqwdhxkhw/edit?usp=sharing"",""เพชรบุรี!J515"")"),0)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IFERROR(__xludf.DUMMYFUNCTION("IMPORTRANGE(""https://docs.google.com/spreadsheets/d/1SX6NBoVAgQJ6U1MVXOaj8PK2l7WJ3RER9xtqwdhxkhw/edit?usp=sharing"",""เพชรบุรี!I516"")"),0)</f>
        <v>0</v>
      </c>
      <c r="J621" s="203">
        <f ca="1">IFERROR(__xludf.DUMMYFUNCTION("IMPORTRANGE(""https://docs.google.com/spreadsheets/d/1SX6NBoVAgQJ6U1MVXOaj8PK2l7WJ3RER9xtqwdhxkhw/edit?usp=sharing"",""เพชรบุรี!J516"")"),0)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IFERROR(__xludf.DUMMYFUNCTION("IMPORTRANGE(""https://docs.google.com/spreadsheets/d/1SX6NBoVAgQJ6U1MVXOaj8PK2l7WJ3RER9xtqwdhxkhw/edit?usp=sharing"",""เพชรบุรี!I517"")"),0)</f>
        <v>0</v>
      </c>
      <c r="J622" s="189">
        <f ca="1">IFERROR(__xludf.DUMMYFUNCTION("IMPORTRANGE(""https://docs.google.com/spreadsheets/d/1SX6NBoVAgQJ6U1MVXOaj8PK2l7WJ3RER9xtqwdhxkhw/edit?usp=sharing"",""เพชรบุรี!J517"")"),0)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IFERROR(__xludf.DUMMYFUNCTION("IMPORTRANGE(""https://docs.google.com/spreadsheets/d/1SX6NBoVAgQJ6U1MVXOaj8PK2l7WJ3RER9xtqwdhxkhw/edit?usp=sharing"",""เพชรบุรี!I518"")"),0)</f>
        <v>0</v>
      </c>
      <c r="J623" s="189">
        <f ca="1">IFERROR(__xludf.DUMMYFUNCTION("IMPORTRANGE(""https://docs.google.com/spreadsheets/d/1SX6NBoVAgQJ6U1MVXOaj8PK2l7WJ3RER9xtqwdhxkhw/edit?usp=sharing"",""เพชรบุรี!J518"")"),0)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IFERROR(__xludf.DUMMYFUNCTION("IMPORTRANGE(""https://docs.google.com/spreadsheets/d/1SX6NBoVAgQJ6U1MVXOaj8PK2l7WJ3RER9xtqwdhxkhw/edit?usp=sharing"",""เพชรบุรี!I519"")"),0)</f>
        <v>0</v>
      </c>
      <c r="J624" s="188">
        <f ca="1">IFERROR(__xludf.DUMMYFUNCTION("IMPORTRANGE(""https://docs.google.com/spreadsheets/d/1SX6NBoVAgQJ6U1MVXOaj8PK2l7WJ3RER9xtqwdhxkhw/edit?usp=sharing"",""เพชรบุรี!J519"")"),0)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IFERROR(__xludf.DUMMYFUNCTION("IMPORTRANGE(""https://docs.google.com/spreadsheets/d/1SX6NBoVAgQJ6U1MVXOaj8PK2l7WJ3RER9xtqwdhxkhw/edit?usp=sharing"",""เพชรบุรี!I520"")"),0)</f>
        <v>0</v>
      </c>
      <c r="J625" s="189">
        <f ca="1">IFERROR(__xludf.DUMMYFUNCTION("IMPORTRANGE(""https://docs.google.com/spreadsheets/d/1SX6NBoVAgQJ6U1MVXOaj8PK2l7WJ3RER9xtqwdhxkhw/edit?usp=sharing"",""เพชรบุรี!J520"")"),0)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IFERROR(__xludf.DUMMYFUNCTION("IMPORTRANGE(""https://docs.google.com/spreadsheets/d/1SX6NBoVAgQJ6U1MVXOaj8PK2l7WJ3RER9xtqwdhxkhw/edit?usp=sharing"",""เพชรบุรี!I521"")"),0)</f>
        <v>0</v>
      </c>
      <c r="J626" s="189">
        <f ca="1">IFERROR(__xludf.DUMMYFUNCTION("IMPORTRANGE(""https://docs.google.com/spreadsheets/d/1SX6NBoVAgQJ6U1MVXOaj8PK2l7WJ3RER9xtqwdhxkhw/edit?usp=sharing"",""เพชรบุรี!J521"")"),0)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IFERROR(__xludf.DUMMYFUNCTION("IMPORTRANGE(""https://docs.google.com/spreadsheets/d/1SX6NBoVAgQJ6U1MVXOaj8PK2l7WJ3RER9xtqwdhxkhw/edit?usp=sharing"",""เพชรบุรี!I523"")"),1148779.43)</f>
        <v>1148779.43</v>
      </c>
      <c r="J628" s="341">
        <f ca="1">IFERROR(__xludf.DUMMYFUNCTION("IMPORTRANGE(""https://docs.google.com/spreadsheets/d/1SX6NBoVAgQJ6U1MVXOaj8PK2l7WJ3RER9xtqwdhxkhw/edit?usp=sharing"",""เพชรบุรี!J523"")"),573457.24)</f>
        <v>573457.24</v>
      </c>
      <c r="K628" s="342">
        <f t="shared" ref="K628:K635" ca="1" si="129">IF(I628&gt;0,J628*100/I628,0)</f>
        <v>49.918829065384642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IFERROR(__xludf.DUMMYFUNCTION("IMPORTRANGE(""https://docs.google.com/spreadsheets/d/1SX6NBoVAgQJ6U1MVXOaj8PK2l7WJ3RER9xtqwdhxkhw/edit?usp=sharing"",""เพชรบุรี!I524"")"),86)</f>
        <v>86</v>
      </c>
      <c r="J629" s="341">
        <f ca="1">IFERROR(__xludf.DUMMYFUNCTION("IMPORTRANGE(""https://docs.google.com/spreadsheets/d/1SX6NBoVAgQJ6U1MVXOaj8PK2l7WJ3RER9xtqwdhxkhw/edit?usp=sharing"",""เพชรบุรี!J524"")"),40)</f>
        <v>40</v>
      </c>
      <c r="K629" s="342">
        <f t="shared" ca="1" si="129"/>
        <v>46.511627906976742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IFERROR(__xludf.DUMMYFUNCTION("IMPORTRANGE(""https://docs.google.com/spreadsheets/d/1SX6NBoVAgQJ6U1MVXOaj8PK2l7WJ3RER9xtqwdhxkhw/edit?usp=sharing"",""เพชรบุรี!I525"")"),486349.02)</f>
        <v>486349.02</v>
      </c>
      <c r="J630" s="341">
        <f ca="1">IFERROR(__xludf.DUMMYFUNCTION("IMPORTRANGE(""https://docs.google.com/spreadsheets/d/1SX6NBoVAgQJ6U1MVXOaj8PK2l7WJ3RER9xtqwdhxkhw/edit?usp=sharing"",""เพชรบุรี!J525"")"),247362.82)</f>
        <v>247362.82</v>
      </c>
      <c r="K630" s="342">
        <f t="shared" ca="1" si="129"/>
        <v>50.861173730749982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IFERROR(__xludf.DUMMYFUNCTION("IMPORTRANGE(""https://docs.google.com/spreadsheets/d/1SX6NBoVAgQJ6U1MVXOaj8PK2l7WJ3RER9xtqwdhxkhw/edit?usp=sharing"",""เพชรบุรี!I526"")"),21)</f>
        <v>21</v>
      </c>
      <c r="J631" s="341">
        <f ca="1">IFERROR(__xludf.DUMMYFUNCTION("IMPORTRANGE(""https://docs.google.com/spreadsheets/d/1SX6NBoVAgQJ6U1MVXOaj8PK2l7WJ3RER9xtqwdhxkhw/edit?usp=sharing"",""เพชรบุรี!J526"")"),16)</f>
        <v>16</v>
      </c>
      <c r="K631" s="342">
        <f t="shared" ca="1" si="129"/>
        <v>76.19047619047619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IFERROR(__xludf.DUMMYFUNCTION("IMPORTRANGE(""https://docs.google.com/spreadsheets/d/1SX6NBoVAgQJ6U1MVXOaj8PK2l7WJ3RER9xtqwdhxkhw/edit?usp=sharing"",""เพชรบุรี!I527"")"),1118.75)</f>
        <v>1118.75</v>
      </c>
      <c r="J632" s="341">
        <f ca="1">IFERROR(__xludf.DUMMYFUNCTION("IMPORTRANGE(""https://docs.google.com/spreadsheets/d/1SX6NBoVAgQJ6U1MVXOaj8PK2l7WJ3RER9xtqwdhxkhw/edit?usp=sharing"",""เพชรบุรี!J527"")"),255802.52)</f>
        <v>255802.52</v>
      </c>
      <c r="K632" s="342">
        <f t="shared" ca="1" si="129"/>
        <v>22865.029720670391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IFERROR(__xludf.DUMMYFUNCTION("IMPORTRANGE(""https://docs.google.com/spreadsheets/d/1SX6NBoVAgQJ6U1MVXOaj8PK2l7WJ3RER9xtqwdhxkhw/edit?usp=sharing"",""เพชรบุรี!I528"")"),1)</f>
        <v>1</v>
      </c>
      <c r="J633" s="341">
        <f ca="1">IFERROR(__xludf.DUMMYFUNCTION("IMPORTRANGE(""https://docs.google.com/spreadsheets/d/1SX6NBoVAgQJ6U1MVXOaj8PK2l7WJ3RER9xtqwdhxkhw/edit?usp=sharing"",""เพชรบุรี!J528"")"),16)</f>
        <v>16</v>
      </c>
      <c r="K633" s="342">
        <f t="shared" ca="1" si="129"/>
        <v>1600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IFERROR(__xludf.DUMMYFUNCTION("IMPORTRANGE(""https://docs.google.com/spreadsheets/d/1SX6NBoVAgQJ6U1MVXOaj8PK2l7WJ3RER9xtqwdhxkhw/edit?usp=sharing"",""เพชรบุรี!I529"")"),1200000)</f>
        <v>1200000</v>
      </c>
      <c r="J634" s="341">
        <f ca="1">IFERROR(__xludf.DUMMYFUNCTION("IMPORTRANGE(""https://docs.google.com/spreadsheets/d/1SX6NBoVAgQJ6U1MVXOaj8PK2l7WJ3RER9xtqwdhxkhw/edit?usp=sharing"",""เพชรบุรี!J529"")"),695000)</f>
        <v>695000</v>
      </c>
      <c r="K634" s="342">
        <f t="shared" ca="1" si="129"/>
        <v>57.916666666666664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IFERROR(__xludf.DUMMYFUNCTION("IMPORTRANGE(""https://docs.google.com/spreadsheets/d/1SX6NBoVAgQJ6U1MVXOaj8PK2l7WJ3RER9xtqwdhxkhw/edit?usp=sharing"",""เพชรบุรี!I530"")"),27)</f>
        <v>27</v>
      </c>
      <c r="J635" s="504">
        <f ca="1">IFERROR(__xludf.DUMMYFUNCTION("IMPORTRANGE(""https://docs.google.com/spreadsheets/d/1SX6NBoVAgQJ6U1MVXOaj8PK2l7WJ3RER9xtqwdhxkhw/edit?usp=sharing"",""เพชรบุรี!J530"")"),17)</f>
        <v>17</v>
      </c>
      <c r="K635" s="486">
        <f t="shared" ca="1" si="129"/>
        <v>62.962962962962962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264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3086894</v>
      </c>
      <c r="M8" s="23">
        <f t="shared" ca="1" si="0"/>
        <v>1570551</v>
      </c>
      <c r="N8" s="23">
        <f t="shared" ca="1" si="0"/>
        <v>1430848.28</v>
      </c>
      <c r="O8" s="22">
        <f t="shared" ref="O8:O16" ca="1" si="1">IF(L8&gt;0,N8*100/L8,0)</f>
        <v>46.352361953471679</v>
      </c>
      <c r="P8" s="22">
        <f t="shared" ref="P8:P16" ca="1" si="2">IF(M8&gt;0,N8*100/M8,0)</f>
        <v>91.10485937737775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3086894</v>
      </c>
      <c r="M10" s="30">
        <f t="shared" ca="1" si="4"/>
        <v>1570551</v>
      </c>
      <c r="N10" s="30">
        <f t="shared" ca="1" si="4"/>
        <v>1430848.28</v>
      </c>
      <c r="O10" s="29">
        <f t="shared" ca="1" si="1"/>
        <v>46.352361953471679</v>
      </c>
      <c r="P10" s="29">
        <f t="shared" ca="1" si="2"/>
        <v>91.10485937737775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2939894</v>
      </c>
      <c r="M12" s="38">
        <f t="shared" ca="1" si="6"/>
        <v>1423551</v>
      </c>
      <c r="N12" s="38">
        <f t="shared" ca="1" si="6"/>
        <v>1283848.28</v>
      </c>
      <c r="O12" s="38">
        <f t="shared" ca="1" si="1"/>
        <v>43.669883335929796</v>
      </c>
      <c r="P12" s="38">
        <f t="shared" ca="1" si="2"/>
        <v>90.186321389258268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1207000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1732894</v>
      </c>
      <c r="M14" s="38">
        <f t="shared" si="8"/>
        <v>0</v>
      </c>
      <c r="N14" s="38">
        <f t="shared" ca="1" si="8"/>
        <v>381178</v>
      </c>
      <c r="O14" s="38">
        <f t="shared" ca="1" si="1"/>
        <v>21.996613757102281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1996045</v>
      </c>
      <c r="M18" s="23">
        <f t="shared" ca="1" si="11"/>
        <v>1570551</v>
      </c>
      <c r="N18" s="23">
        <f t="shared" ca="1" si="11"/>
        <v>1049670.28</v>
      </c>
      <c r="O18" s="22">
        <f t="shared" ref="O18:O20" ca="1" si="12">IF(L18&gt;0,N18*100/L18,0)</f>
        <v>52.587505792705073</v>
      </c>
      <c r="P18" s="22">
        <f t="shared" ref="P18:P26" ca="1" si="13">IF(M18&gt;0,N18*100/M18,0)</f>
        <v>66.834523679905971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1996045</v>
      </c>
      <c r="M20" s="30">
        <f t="shared" ca="1" si="15"/>
        <v>1570551</v>
      </c>
      <c r="N20" s="30">
        <f t="shared" ca="1" si="15"/>
        <v>1049670.28</v>
      </c>
      <c r="O20" s="29">
        <f t="shared" ca="1" si="12"/>
        <v>52.587505792705073</v>
      </c>
      <c r="P20" s="29">
        <f t="shared" ca="1" si="13"/>
        <v>66.834523679905971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1849045</v>
      </c>
      <c r="M22" s="41">
        <f t="shared" ca="1" si="18"/>
        <v>1423551</v>
      </c>
      <c r="N22" s="38">
        <f t="shared" ca="1" si="18"/>
        <v>902670.28</v>
      </c>
      <c r="O22" s="38">
        <f t="shared" ca="1" si="17"/>
        <v>48.818188848838183</v>
      </c>
      <c r="P22" s="38">
        <f t="shared" ca="1" si="13"/>
        <v>63.409760521400358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1207000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642045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1090849</v>
      </c>
      <c r="M28" s="23">
        <f t="shared" si="23"/>
        <v>0</v>
      </c>
      <c r="N28" s="23">
        <f t="shared" ca="1" si="23"/>
        <v>381178</v>
      </c>
      <c r="O28" s="22">
        <f t="shared" ref="O28:O30" ca="1" si="24">IF(L28&gt;0,N28*100/L28,0)</f>
        <v>34.943241456883584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1090849</v>
      </c>
      <c r="M30" s="30">
        <f t="shared" si="27"/>
        <v>0</v>
      </c>
      <c r="N30" s="30">
        <f t="shared" ca="1" si="27"/>
        <v>381178</v>
      </c>
      <c r="O30" s="29">
        <f t="shared" ca="1" si="24"/>
        <v>34.943241456883584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1090849</v>
      </c>
      <c r="M32" s="38">
        <f t="shared" si="30"/>
        <v>0</v>
      </c>
      <c r="N32" s="38">
        <f t="shared" ca="1" si="30"/>
        <v>381178</v>
      </c>
      <c r="O32" s="38">
        <f t="shared" ca="1" si="29"/>
        <v>34.943241456883584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1090849</v>
      </c>
      <c r="M34" s="38">
        <f t="shared" si="32"/>
        <v>0</v>
      </c>
      <c r="N34" s="38">
        <f t="shared" ca="1" si="32"/>
        <v>381178</v>
      </c>
      <c r="O34" s="38">
        <f t="shared" ca="1" si="29"/>
        <v>34.943241456883584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1996045</v>
      </c>
      <c r="M37" s="54">
        <f t="shared" ca="1" si="33"/>
        <v>1570551</v>
      </c>
      <c r="N37" s="54">
        <f t="shared" ca="1" si="33"/>
        <v>1049670.28</v>
      </c>
      <c r="O37" s="55">
        <f t="shared" ca="1" si="29"/>
        <v>52.587505792705073</v>
      </c>
      <c r="P37" s="55">
        <f t="shared" ca="1" si="25"/>
        <v>66.834523679905971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313800</v>
      </c>
      <c r="M41" s="78">
        <f t="shared" ca="1" si="34"/>
        <v>246900</v>
      </c>
      <c r="N41" s="78">
        <f t="shared" ca="1" si="34"/>
        <v>153391.32</v>
      </c>
      <c r="O41" s="77">
        <f t="shared" ref="O41:O43" ca="1" si="35">IF(L41&gt;0,N41*100/L41,0)</f>
        <v>48.88187380497132</v>
      </c>
      <c r="P41" s="77">
        <f t="shared" ref="P41:P43" ca="1" si="36">IF(M41&gt;0,N41*100/M41,0)</f>
        <v>62.126901579586878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313800</v>
      </c>
      <c r="M43" s="78">
        <f t="shared" ca="1" si="38"/>
        <v>246900</v>
      </c>
      <c r="N43" s="78">
        <f t="shared" ca="1" si="38"/>
        <v>153391.32</v>
      </c>
      <c r="O43" s="77">
        <f t="shared" ca="1" si="35"/>
        <v>48.88187380497132</v>
      </c>
      <c r="P43" s="77">
        <f t="shared" ca="1" si="36"/>
        <v>62.126901579586878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313800</v>
      </c>
      <c r="M45" s="49">
        <f ca="1">IFERROR(__xludf.DUMMYFUNCTION("IMPORTRANGE(""https://docs.google.com/spreadsheets/d/1Yj_ptqi66GCucihVvJfMjLAmec39IyEx_6qawtMGysU/edit?usp=sharing"",""สบก!Q72"")"),246900)</f>
        <v>246900</v>
      </c>
      <c r="N45" s="49">
        <f ca="1">IFERROR(__xludf.DUMMYFUNCTION("IMPORTRANGE(""https://docs.google.com/spreadsheets/d/1Yj_ptqi66GCucihVvJfMjLAmec39IyEx_6qawtMGysU/edit?usp=sharing"",""สบก!R72"")"),153391.32)</f>
        <v>153391.32</v>
      </c>
      <c r="O45" s="38">
        <f ca="1">IF(L45&gt;0,N45*100/L45,0)</f>
        <v>48.88187380497132</v>
      </c>
      <c r="P45" s="38">
        <f ca="1">IF(M45&gt;0,N45*100/M45,0)</f>
        <v>62.126901579586878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IFERROR(__xludf.DUMMYFUNCTION("IMPORTRANGE(""https://docs.google.com/spreadsheets/d/1Yj_ptqi66GCucihVvJfMjLAmec39IyEx_6qawtMGysU/edit?usp=sharing"",""สบก!M72"")"),313800)</f>
        <v>313800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IFERROR(__xludf.DUMMYFUNCTION("IMPORTRANGE(""https://docs.google.com/spreadsheets/d/1Yj_ptqi66GCucihVvJfMjLAmec39IyEx_6qawtMGysU/edit?usp=sharing"",""สบก!O72"")"),0)</f>
        <v>0</v>
      </c>
      <c r="M49" s="49"/>
      <c r="N49" s="49">
        <f ca="1">IFERROR(__xludf.DUMMYFUNCTION("IMPORTRANGE(""https://docs.google.com/spreadsheets/d/1Yj_ptqi66GCucihVvJfMjLAmec39IyEx_6qawtMGysU/edit?usp=sharing"",""สบก!S72"")"),0)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280000</v>
      </c>
      <c r="M53" s="121">
        <f t="shared" ca="1" si="39"/>
        <v>216541</v>
      </c>
      <c r="N53" s="121">
        <f t="shared" ca="1" si="39"/>
        <v>163756</v>
      </c>
      <c r="O53" s="120">
        <f t="shared" ref="O53:O55" ca="1" si="40">IF(L53&gt;0,N53*100/L53,0)</f>
        <v>58.484285714285711</v>
      </c>
      <c r="P53" s="120">
        <f t="shared" ref="P53:P55" ca="1" si="41">IF(M53&gt;0,N53*100/M53,0)</f>
        <v>75.623553968994329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280000</v>
      </c>
      <c r="M55" s="121">
        <f t="shared" ca="1" si="43"/>
        <v>216541</v>
      </c>
      <c r="N55" s="121">
        <f t="shared" ca="1" si="43"/>
        <v>163756</v>
      </c>
      <c r="O55" s="120">
        <f t="shared" ca="1" si="40"/>
        <v>58.484285714285711</v>
      </c>
      <c r="P55" s="120">
        <f t="shared" ca="1" si="41"/>
        <v>75.623553968994329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280000</v>
      </c>
      <c r="M57" s="49">
        <f ca="1">IFERROR(__xludf.DUMMYFUNCTION("IMPORTRANGE(""https://docs.google.com/spreadsheets/d/1Yj_ptqi66GCucihVvJfMjLAmec39IyEx_6qawtMGysU/edit?usp=sharing"",""สบก!Z72"")"),216541)</f>
        <v>216541</v>
      </c>
      <c r="N57" s="49">
        <f ca="1">IFERROR(__xludf.DUMMYFUNCTION("IMPORTRANGE(""https://docs.google.com/spreadsheets/d/1Yj_ptqi66GCucihVvJfMjLAmec39IyEx_6qawtMGysU/edit?usp=sharing"",""สบก!AA72"")"),163756)</f>
        <v>163756</v>
      </c>
      <c r="O57" s="38">
        <f ca="1">IF(L57&gt;0,N57*100/L57,0)</f>
        <v>58.484285714285711</v>
      </c>
      <c r="P57" s="38">
        <f ca="1">IF(M57&gt;0,N57*100/M57,0)</f>
        <v>75.623553968994329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IFERROR(__xludf.DUMMYFUNCTION("IMPORTRANGE(""https://docs.google.com/spreadsheets/d/1Yj_ptqi66GCucihVvJfMjLAmec39IyEx_6qawtMGysU/edit?usp=sharing"",""สบก!V72"")"),280000)</f>
        <v>280000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IFERROR(__xludf.DUMMYFUNCTION("IMPORTRANGE(""https://docs.google.com/spreadsheets/d/1Yj_ptqi66GCucihVvJfMjLAmec39IyEx_6qawtMGysU/edit?usp=sharing"",""สบก!X72"")"),0)</f>
        <v>0</v>
      </c>
      <c r="M61" s="49"/>
      <c r="N61" s="49">
        <f ca="1">IFERROR(__xludf.DUMMYFUNCTION("IMPORTRANGE(""https://docs.google.com/spreadsheets/d/1Yj_ptqi66GCucihVvJfMjLAmec39IyEx_6qawtMGysU/edit?usp=sharing"",""สบก!AB72"")"),0)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IFERROR(__xludf.DUMMYFUNCTION("IMPORTRANGE(""https://docs.google.com/spreadsheets/d/1SX6NBoVAgQJ6U1MVXOaj8PK2l7WJ3RER9xtqwdhxkhw/edit?usp=sharing"",""ระยอง!I9"")"),0)</f>
        <v>0</v>
      </c>
      <c r="J64" s="142">
        <f ca="1">IFERROR(__xludf.DUMMYFUNCTION("IMPORTRANGE(""https://docs.google.com/spreadsheets/d/1SX6NBoVAgQJ6U1MVXOaj8PK2l7WJ3RER9xtqwdhxkhw/edit?usp=sharing"",""ระยอง!J9"")"),0)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IFERROR(__xludf.DUMMYFUNCTION("IMPORTRANGE(""https://docs.google.com/spreadsheets/d/1SX6NBoVAgQJ6U1MVXOaj8PK2l7WJ3RER9xtqwdhxkhw/edit?usp=sharing"",""ระยอง!I10"")"),0)</f>
        <v>0</v>
      </c>
      <c r="J65" s="142">
        <f ca="1">IFERROR(__xludf.DUMMYFUNCTION("IMPORTRANGE(""https://docs.google.com/spreadsheets/d/1SX6NBoVAgQJ6U1MVXOaj8PK2l7WJ3RER9xtqwdhxkhw/edit?usp=sharing"",""ระยอง!J10"")"),0)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IFERROR(__xludf.DUMMYFUNCTION("IMPORTRANGE(""https://docs.google.com/spreadsheets/d/1Yj_ptqi66GCucihVvJfMjLAmec39IyEx_6qawtMGysU/edit?usp=sharing"",""สบก!AI72"")"),0)</f>
        <v>0</v>
      </c>
      <c r="N70" s="169">
        <f ca="1">IFERROR(__xludf.DUMMYFUNCTION("IMPORTRANGE(""https://docs.google.com/spreadsheets/d/1Yj_ptqi66GCucihVvJfMjLAmec39IyEx_6qawtMGysU/edit?usp=sharing"",""สบก!AJ72"")"),0)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IFERROR(__xludf.DUMMYFUNCTION("IMPORTRANGE(""https://docs.google.com/spreadsheets/d/1Yj_ptqi66GCucihVvJfMjLAmec39IyEx_6qawtMGysU/edit?usp=sharing"",""สบก!AE72"")"),0)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IFERROR(__xludf.DUMMYFUNCTION("IMPORTRANGE(""https://docs.google.com/spreadsheets/d/1Yj_ptqi66GCucihVvJfMjLAmec39IyEx_6qawtMGysU/edit?usp=sharing"",""สบก!AF72"")"),0)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IFERROR(__xludf.DUMMYFUNCTION("IMPORTRANGE(""https://docs.google.com/spreadsheets/d/1Yj_ptqi66GCucihVvJfMjLAmec39IyEx_6qawtMGysU/edit?usp=sharing"",""สบก!AG72"")"),0)</f>
        <v>0</v>
      </c>
      <c r="M74" s="49"/>
      <c r="N74" s="49">
        <f ca="1">IFERROR(__xludf.DUMMYFUNCTION("IMPORTRANGE(""https://docs.google.com/spreadsheets/d/1Yj_ptqi66GCucihVvJfMjLAmec39IyEx_6qawtMGysU/edit?usp=sharing"",""สบก!AK72"")"),0)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IFERROR(__xludf.DUMMYFUNCTION("IMPORTRANGE(""https://docs.google.com/spreadsheets/d/1SX6NBoVAgQJ6U1MVXOaj8PK2l7WJ3RER9xtqwdhxkhw/edit?usp=sharing"",""ระยอง!J16"")"),0)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IFERROR(__xludf.DUMMYFUNCTION("IMPORTRANGE(""https://docs.google.com/spreadsheets/d/1SX6NBoVAgQJ6U1MVXOaj8PK2l7WJ3RER9xtqwdhxkhw/edit?usp=sharing"",""ระยอง!J17"")"),0)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IFERROR(__xludf.DUMMYFUNCTION("IMPORTRANGE(""https://docs.google.com/spreadsheets/d/1SX6NBoVAgQJ6U1MVXOaj8PK2l7WJ3RER9xtqwdhxkhw/edit?usp=sharing"",""ระยอง!J18"")"),0)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IFERROR(__xludf.DUMMYFUNCTION("IMPORTRANGE(""https://docs.google.com/spreadsheets/d/1SX6NBoVAgQJ6U1MVXOaj8PK2l7WJ3RER9xtqwdhxkhw/edit?usp=sharing"",""ระยอง!J19"")"),0)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IFERROR(__xludf.DUMMYFUNCTION("IMPORTRANGE(""https://docs.google.com/spreadsheets/d/1SX6NBoVAgQJ6U1MVXOaj8PK2l7WJ3RER9xtqwdhxkhw/edit?usp=sharing"",""ระยอง!I20"")"),0)</f>
        <v>0</v>
      </c>
      <c r="J80" s="201">
        <f ca="1">IFERROR(__xludf.DUMMYFUNCTION("IMPORTRANGE(""https://docs.google.com/spreadsheets/d/1SX6NBoVAgQJ6U1MVXOaj8PK2l7WJ3RER9xtqwdhxkhw/edit?usp=sharing"",""ระยอง!J20"")"),0)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IFERROR(__xludf.DUMMYFUNCTION("IMPORTRANGE(""https://docs.google.com/spreadsheets/d/1SX6NBoVAgQJ6U1MVXOaj8PK2l7WJ3RER9xtqwdhxkhw/edit?usp=sharing"",""ระยอง!I21"")"),0)</f>
        <v>0</v>
      </c>
      <c r="J81" s="201">
        <f ca="1">IFERROR(__xludf.DUMMYFUNCTION("IMPORTRANGE(""https://docs.google.com/spreadsheets/d/1SX6NBoVAgQJ6U1MVXOaj8PK2l7WJ3RER9xtqwdhxkhw/edit?usp=sharing"",""ระยอง!J21"")"),0)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IFERROR(__xludf.DUMMYFUNCTION("IMPORTRANGE(""https://docs.google.com/spreadsheets/d/1SX6NBoVAgQJ6U1MVXOaj8PK2l7WJ3RER9xtqwdhxkhw/edit?usp=sharing"",""ระยอง!I22"")"),0)</f>
        <v>0</v>
      </c>
      <c r="J82" s="204">
        <f ca="1">IFERROR(__xludf.DUMMYFUNCTION("IMPORTRANGE(""https://docs.google.com/spreadsheets/d/1SX6NBoVAgQJ6U1MVXOaj8PK2l7WJ3RER9xtqwdhxkhw/edit?usp=sharing"",""ระยอง!J22"")"),0)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IFERROR(__xludf.DUMMYFUNCTION("IMPORTRANGE(""https://docs.google.com/spreadsheets/d/1SX6NBoVAgQJ6U1MVXOaj8PK2l7WJ3RER9xtqwdhxkhw/edit?usp=sharing"",""ระยอง!I23"")"),0)</f>
        <v>0</v>
      </c>
      <c r="J83" s="204">
        <f ca="1">IFERROR(__xludf.DUMMYFUNCTION("IMPORTRANGE(""https://docs.google.com/spreadsheets/d/1SX6NBoVAgQJ6U1MVXOaj8PK2l7WJ3RER9xtqwdhxkhw/edit?usp=sharing"",""ระยอง!J23"")"),0)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IFERROR(__xludf.DUMMYFUNCTION("IMPORTRANGE(""https://docs.google.com/spreadsheets/d/1SX6NBoVAgQJ6U1MVXOaj8PK2l7WJ3RER9xtqwdhxkhw/edit?usp=sharing"",""ระยอง!I24"")"),0)</f>
        <v>0</v>
      </c>
      <c r="J84" s="189">
        <f ca="1">IFERROR(__xludf.DUMMYFUNCTION("IMPORTRANGE(""https://docs.google.com/spreadsheets/d/1SX6NBoVAgQJ6U1MVXOaj8PK2l7WJ3RER9xtqwdhxkhw/edit?usp=sharing"",""ระยอง!J24"")"),0)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IFERROR(__xludf.DUMMYFUNCTION("IMPORTRANGE(""https://docs.google.com/spreadsheets/d/1SX6NBoVAgQJ6U1MVXOaj8PK2l7WJ3RER9xtqwdhxkhw/edit?usp=sharing"",""ระยอง!I25"")"),0)</f>
        <v>0</v>
      </c>
      <c r="J85" s="189">
        <f ca="1">IFERROR(__xludf.DUMMYFUNCTION("IMPORTRANGE(""https://docs.google.com/spreadsheets/d/1SX6NBoVAgQJ6U1MVXOaj8PK2l7WJ3RER9xtqwdhxkhw/edit?usp=sharing"",""ระยอง!J25"")"),0)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IFERROR(__xludf.DUMMYFUNCTION("IMPORTRANGE(""https://docs.google.com/spreadsheets/d/1SX6NBoVAgQJ6U1MVXOaj8PK2l7WJ3RER9xtqwdhxkhw/edit?usp=sharing"",""ระยอง!I26"")"),0)</f>
        <v>0</v>
      </c>
      <c r="J86" s="204">
        <f ca="1">IFERROR(__xludf.DUMMYFUNCTION("IMPORTRANGE(""https://docs.google.com/spreadsheets/d/1SX6NBoVAgQJ6U1MVXOaj8PK2l7WJ3RER9xtqwdhxkhw/edit?usp=sharing"",""ระยอง!J26"")"),0)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IFERROR(__xludf.DUMMYFUNCTION("IMPORTRANGE(""https://docs.google.com/spreadsheets/d/1SX6NBoVAgQJ6U1MVXOaj8PK2l7WJ3RER9xtqwdhxkhw/edit?usp=sharing"",""ระยอง!I27"")"),0)</f>
        <v>0</v>
      </c>
      <c r="J87" s="204">
        <f ca="1">IFERROR(__xludf.DUMMYFUNCTION("IMPORTRANGE(""https://docs.google.com/spreadsheets/d/1SX6NBoVAgQJ6U1MVXOaj8PK2l7WJ3RER9xtqwdhxkhw/edit?usp=sharing"",""ระยอง!J27"")"),0)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IFERROR(__xludf.DUMMYFUNCTION("IMPORTRANGE(""https://docs.google.com/spreadsheets/d/1SX6NBoVAgQJ6U1MVXOaj8PK2l7WJ3RER9xtqwdhxkhw/edit?usp=sharing"",""ระยอง!I28"")"),0)</f>
        <v>0</v>
      </c>
      <c r="J88" s="204">
        <f ca="1">IFERROR(__xludf.DUMMYFUNCTION("IMPORTRANGE(""https://docs.google.com/spreadsheets/d/1SX6NBoVAgQJ6U1MVXOaj8PK2l7WJ3RER9xtqwdhxkhw/edit?usp=sharing"",""ระยอง!J28"")"),0)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IFERROR(__xludf.DUMMYFUNCTION("IMPORTRANGE(""https://docs.google.com/spreadsheets/d/1SX6NBoVAgQJ6U1MVXOaj8PK2l7WJ3RER9xtqwdhxkhw/edit?usp=sharing"",""ระยอง!J29"")"),0)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IFERROR(__xludf.DUMMYFUNCTION("IMPORTRANGE(""https://docs.google.com/spreadsheets/d/1SX6NBoVAgQJ6U1MVXOaj8PK2l7WJ3RER9xtqwdhxkhw/edit?usp=sharing"",""ระยอง!J30"")"),0)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IFERROR(__xludf.DUMMYFUNCTION("IMPORTRANGE(""https://docs.google.com/spreadsheets/d/1SX6NBoVAgQJ6U1MVXOaj8PK2l7WJ3RER9xtqwdhxkhw/edit?usp=sharing"",""ระยอง!I32"")"),0)</f>
        <v>0</v>
      </c>
      <c r="J92" s="142">
        <f ca="1">IFERROR(__xludf.DUMMYFUNCTION("IMPORTRANGE(""https://docs.google.com/spreadsheets/d/1SX6NBoVAgQJ6U1MVXOaj8PK2l7WJ3RER9xtqwdhxkhw/edit?usp=sharing"",""ระยอง!J32"")"),0)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IFERROR(__xludf.DUMMYFUNCTION("IMPORTRANGE(""https://docs.google.com/spreadsheets/d/1SX6NBoVAgQJ6U1MVXOaj8PK2l7WJ3RER9xtqwdhxkhw/edit?usp=sharing"",""ระยอง!I33"")"),0)</f>
        <v>0</v>
      </c>
      <c r="J93" s="142">
        <f ca="1">IFERROR(__xludf.DUMMYFUNCTION("IMPORTRANGE(""https://docs.google.com/spreadsheets/d/1SX6NBoVAgQJ6U1MVXOaj8PK2l7WJ3RER9xtqwdhxkhw/edit?usp=sharing"",""ระยอง!J33"")"),0)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IFERROR(__xludf.DUMMYFUNCTION("IMPORTRANGE(""https://docs.google.com/spreadsheets/d/1Yj_ptqi66GCucihVvJfMjLAmec39IyEx_6qawtMGysU/edit?usp=sharing"",""สบก!AR72"")"),0)</f>
        <v>0</v>
      </c>
      <c r="N98" s="169">
        <f ca="1">IFERROR(__xludf.DUMMYFUNCTION("IMPORTRANGE(""https://docs.google.com/spreadsheets/d/1Yj_ptqi66GCucihVvJfMjLAmec39IyEx_6qawtMGysU/edit?usp=sharing"",""สบก!AS72"")"),0)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IFERROR(__xludf.DUMMYFUNCTION("IMPORTRANGE(""https://docs.google.com/spreadsheets/d/1Yj_ptqi66GCucihVvJfMjLAmec39IyEx_6qawtMGysU/edit?usp=sharing"",""สบก!AN72"")"),0)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IFERROR(__xludf.DUMMYFUNCTION("IMPORTRANGE(""https://docs.google.com/spreadsheets/d/1Yj_ptqi66GCucihVvJfMjLAmec39IyEx_6qawtMGysU/edit?usp=sharing"",""สบก!AO72"")"),0)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IFERROR(__xludf.DUMMYFUNCTION("IMPORTRANGE(""https://docs.google.com/spreadsheets/d/1Yj_ptqi66GCucihVvJfMjLAmec39IyEx_6qawtMGysU/edit?usp=sharing"",""สบก!AP72"")"),0)</f>
        <v>0</v>
      </c>
      <c r="M102" s="49"/>
      <c r="N102" s="49">
        <f ca="1">IFERROR(__xludf.DUMMYFUNCTION("IMPORTRANGE(""https://docs.google.com/spreadsheets/d/1Yj_ptqi66GCucihVvJfMjLAmec39IyEx_6qawtMGysU/edit?usp=sharing"",""สบก!AT72"")"),0)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IFERROR(__xludf.DUMMYFUNCTION("IMPORTRANGE(""https://docs.google.com/spreadsheets/d/1SX6NBoVAgQJ6U1MVXOaj8PK2l7WJ3RER9xtqwdhxkhw/edit?usp=sharing"",""ระยอง!J39"")"),0)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IFERROR(__xludf.DUMMYFUNCTION("IMPORTRANGE(""https://docs.google.com/spreadsheets/d/1SX6NBoVAgQJ6U1MVXOaj8PK2l7WJ3RER9xtqwdhxkhw/edit?usp=sharing"",""ระยอง!J40"")"),0)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IFERROR(__xludf.DUMMYFUNCTION("IMPORTRANGE(""https://docs.google.com/spreadsheets/d/1SX6NBoVAgQJ6U1MVXOaj8PK2l7WJ3RER9xtqwdhxkhw/edit?usp=sharing"",""ระยอง!J41"")"),0)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IFERROR(__xludf.DUMMYFUNCTION("IMPORTRANGE(""https://docs.google.com/spreadsheets/d/1SX6NBoVAgQJ6U1MVXOaj8PK2l7WJ3RER9xtqwdhxkhw/edit?usp=sharing"",""ระยอง!J42"")"),0)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IFERROR(__xludf.DUMMYFUNCTION("IMPORTRANGE(""https://docs.google.com/spreadsheets/d/1SX6NBoVAgQJ6U1MVXOaj8PK2l7WJ3RER9xtqwdhxkhw/edit?usp=sharing"",""ระยอง!I43"")"),0)</f>
        <v>0</v>
      </c>
      <c r="J108" s="204">
        <f ca="1">IFERROR(__xludf.DUMMYFUNCTION("IMPORTRANGE(""https://docs.google.com/spreadsheets/d/1SX6NBoVAgQJ6U1MVXOaj8PK2l7WJ3RER9xtqwdhxkhw/edit?usp=sharing"",""ระยอง!J43"")"),0)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IFERROR(__xludf.DUMMYFUNCTION("IMPORTRANGE(""https://docs.google.com/spreadsheets/d/1SX6NBoVAgQJ6U1MVXOaj8PK2l7WJ3RER9xtqwdhxkhw/edit?usp=sharing"",""ระยอง!I44"")"),0)</f>
        <v>0</v>
      </c>
      <c r="J109" s="204">
        <f ca="1">IFERROR(__xludf.DUMMYFUNCTION("IMPORTRANGE(""https://docs.google.com/spreadsheets/d/1SX6NBoVAgQJ6U1MVXOaj8PK2l7WJ3RER9xtqwdhxkhw/edit?usp=sharing"",""ระยอง!J44"")"),0)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IFERROR(__xludf.DUMMYFUNCTION("IMPORTRANGE(""https://docs.google.com/spreadsheets/d/1SX6NBoVAgQJ6U1MVXOaj8PK2l7WJ3RER9xtqwdhxkhw/edit?usp=sharing"",""ระยอง!I45"")"),0)</f>
        <v>0</v>
      </c>
      <c r="J110" s="204">
        <f ca="1">IFERROR(__xludf.DUMMYFUNCTION("IMPORTRANGE(""https://docs.google.com/spreadsheets/d/1SX6NBoVAgQJ6U1MVXOaj8PK2l7WJ3RER9xtqwdhxkhw/edit?usp=sharing"",""ระยอง!J45"")"),0)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IFERROR(__xludf.DUMMYFUNCTION("IMPORTRANGE(""https://docs.google.com/spreadsheets/d/1SX6NBoVAgQJ6U1MVXOaj8PK2l7WJ3RER9xtqwdhxkhw/edit?usp=sharing"",""ระยอง!I46"")"),0)</f>
        <v>0</v>
      </c>
      <c r="J111" s="204">
        <f ca="1">IFERROR(__xludf.DUMMYFUNCTION("IMPORTRANGE(""https://docs.google.com/spreadsheets/d/1SX6NBoVAgQJ6U1MVXOaj8PK2l7WJ3RER9xtqwdhxkhw/edit?usp=sharing"",""ระยอง!J46"")"),0)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IFERROR(__xludf.DUMMYFUNCTION("IMPORTRANGE(""https://docs.google.com/spreadsheets/d/1SX6NBoVAgQJ6U1MVXOaj8PK2l7WJ3RER9xtqwdhxkhw/edit?usp=sharing"",""ระยอง!I47"")"),0)</f>
        <v>0</v>
      </c>
      <c r="J112" s="204">
        <f ca="1">IFERROR(__xludf.DUMMYFUNCTION("IMPORTRANGE(""https://docs.google.com/spreadsheets/d/1SX6NBoVAgQJ6U1MVXOaj8PK2l7WJ3RER9xtqwdhxkhw/edit?usp=sharing"",""ระยอง!J47"")"),0)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IFERROR(__xludf.DUMMYFUNCTION("IMPORTRANGE(""https://docs.google.com/spreadsheets/d/1SX6NBoVAgQJ6U1MVXOaj8PK2l7WJ3RER9xtqwdhxkhw/edit?usp=sharing"",""ระยอง!I48"")"),0)</f>
        <v>0</v>
      </c>
      <c r="J113" s="204">
        <f ca="1">IFERROR(__xludf.DUMMYFUNCTION("IMPORTRANGE(""https://docs.google.com/spreadsheets/d/1SX6NBoVAgQJ6U1MVXOaj8PK2l7WJ3RER9xtqwdhxkhw/edit?usp=sharing"",""ระยอง!J48"")"),0)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IFERROR(__xludf.DUMMYFUNCTION("IMPORTRANGE(""https://docs.google.com/spreadsheets/d/1SX6NBoVAgQJ6U1MVXOaj8PK2l7WJ3RER9xtqwdhxkhw/edit?usp=sharing"",""ระยอง!J49"")"),0)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IFERROR(__xludf.DUMMYFUNCTION("IMPORTRANGE(""https://docs.google.com/spreadsheets/d/1SX6NBoVAgQJ6U1MVXOaj8PK2l7WJ3RER9xtqwdhxkhw/edit?usp=sharing"",""ระยอง!J50"")"),0)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IFERROR(__xludf.DUMMYFUNCTION("IMPORTRANGE(""https://docs.google.com/spreadsheets/d/1SX6NBoVAgQJ6U1MVXOaj8PK2l7WJ3RER9xtqwdhxkhw/edit?usp=sharing"",""ระยอง!I52"")"),0)</f>
        <v>0</v>
      </c>
      <c r="J117" s="142">
        <f ca="1">IFERROR(__xludf.DUMMYFUNCTION("IMPORTRANGE(""https://docs.google.com/spreadsheets/d/1SX6NBoVAgQJ6U1MVXOaj8PK2l7WJ3RER9xtqwdhxkhw/edit?usp=sharing"",""ระยอง!J52"")"),0)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IFERROR(__xludf.DUMMYFUNCTION("IMPORTRANGE(""https://docs.google.com/spreadsheets/d/1Yj_ptqi66GCucihVvJfMjLAmec39IyEx_6qawtMGysU/edit?usp=sharing"",""สบก!BA72"")"),0)</f>
        <v>0</v>
      </c>
      <c r="N122" s="169">
        <f ca="1">IFERROR(__xludf.DUMMYFUNCTION("IMPORTRANGE(""https://docs.google.com/spreadsheets/d/1Yj_ptqi66GCucihVvJfMjLAmec39IyEx_6qawtMGysU/edit?usp=sharing"",""สบก!BB72"")"),0)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IFERROR(__xludf.DUMMYFUNCTION("IMPORTRANGE(""https://docs.google.com/spreadsheets/d/1Yj_ptqi66GCucihVvJfMjLAmec39IyEx_6qawtMGysU/edit?usp=sharing"",""สบก!AW72"")"),0)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IFERROR(__xludf.DUMMYFUNCTION("IMPORTRANGE(""https://docs.google.com/spreadsheets/d/1Yj_ptqi66GCucihVvJfMjLAmec39IyEx_6qawtMGysU/edit?usp=sharing"",""สบก!AX72"")"),0)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IFERROR(__xludf.DUMMYFUNCTION("IMPORTRANGE(""https://docs.google.com/spreadsheets/d/1Yj_ptqi66GCucihVvJfMjLAmec39IyEx_6qawtMGysU/edit?usp=sharing"",""สบก!AY72"")"),0)</f>
        <v>0</v>
      </c>
      <c r="M126" s="49"/>
      <c r="N126" s="49">
        <f ca="1">IFERROR(__xludf.DUMMYFUNCTION("IMPORTRANGE(""https://docs.google.com/spreadsheets/d/1Yj_ptqi66GCucihVvJfMjLAmec39IyEx_6qawtMGysU/edit?usp=sharing"",""สบก!BC72"")"),0)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265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IFERROR(__xludf.DUMMYFUNCTION("IMPORTRANGE(""https://docs.google.com/spreadsheets/d/1SX6NBoVAgQJ6U1MVXOaj8PK2l7WJ3RER9xtqwdhxkhw/edit?usp=sharing"",""ระยอง!J58"")"),0)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IFERROR(__xludf.DUMMYFUNCTION("IMPORTRANGE(""https://docs.google.com/spreadsheets/d/1SX6NBoVAgQJ6U1MVXOaj8PK2l7WJ3RER9xtqwdhxkhw/edit?usp=sharing"",""ระยอง!J59"")"),0)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IFERROR(__xludf.DUMMYFUNCTION("IMPORTRANGE(""https://docs.google.com/spreadsheets/d/1SX6NBoVAgQJ6U1MVXOaj8PK2l7WJ3RER9xtqwdhxkhw/edit?usp=sharing"",""ระยอง!J60"")"),0)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IFERROR(__xludf.DUMMYFUNCTION("IMPORTRANGE(""https://docs.google.com/spreadsheets/d/1SX6NBoVAgQJ6U1MVXOaj8PK2l7WJ3RER9xtqwdhxkhw/edit?usp=sharing"",""ระยอง!J61"")"),0)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IFERROR(__xludf.DUMMYFUNCTION("IMPORTRANGE(""https://docs.google.com/spreadsheets/d/1SX6NBoVAgQJ6U1MVXOaj8PK2l7WJ3RER9xtqwdhxkhw/edit?usp=sharing"",""ระยอง!I62"")"),0)</f>
        <v>0</v>
      </c>
      <c r="J132" s="204">
        <f ca="1">IFERROR(__xludf.DUMMYFUNCTION("IMPORTRANGE(""https://docs.google.com/spreadsheets/d/1SX6NBoVAgQJ6U1MVXOaj8PK2l7WJ3RER9xtqwdhxkhw/edit?usp=sharing"",""ระยอง!J62"")"),0)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IFERROR(__xludf.DUMMYFUNCTION("IMPORTRANGE(""https://docs.google.com/spreadsheets/d/1SX6NBoVAgQJ6U1MVXOaj8PK2l7WJ3RER9xtqwdhxkhw/edit?usp=sharing"",""ระยอง!I63"")"),0)</f>
        <v>0</v>
      </c>
      <c r="J133" s="204">
        <f ca="1">IFERROR(__xludf.DUMMYFUNCTION("IMPORTRANGE(""https://docs.google.com/spreadsheets/d/1SX6NBoVAgQJ6U1MVXOaj8PK2l7WJ3RER9xtqwdhxkhw/edit?usp=sharing"",""ระยอง!J63"")"),0)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IFERROR(__xludf.DUMMYFUNCTION("IMPORTRANGE(""https://docs.google.com/spreadsheets/d/1SX6NBoVAgQJ6U1MVXOaj8PK2l7WJ3RER9xtqwdhxkhw/edit?usp=sharing"",""ระยอง!J64"")"),0)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IFERROR(__xludf.DUMMYFUNCTION("IMPORTRANGE(""https://docs.google.com/spreadsheets/d/1SX6NBoVAgQJ6U1MVXOaj8PK2l7WJ3RER9xtqwdhxkhw/edit?usp=sharing"",""ระยอง!J65"")"),0)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IFERROR(__xludf.DUMMYFUNCTION("IMPORTRANGE(""https://docs.google.com/spreadsheets/d/1SX6NBoVAgQJ6U1MVXOaj8PK2l7WJ3RER9xtqwdhxkhw/edit?usp=sharing"",""ระยอง!I68"")"),20)</f>
        <v>20</v>
      </c>
      <c r="J138" s="267">
        <f ca="1">IFERROR(__xludf.DUMMYFUNCTION("IMPORTRANGE(""https://docs.google.com/spreadsheets/d/1SX6NBoVAgQJ6U1MVXOaj8PK2l7WJ3RER9xtqwdhxkhw/edit?usp=sharing"",""ระยอง!J68"")"),20)</f>
        <v>20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340900</v>
      </c>
      <c r="M140" s="152">
        <f t="shared" ca="1" si="64"/>
        <v>267825</v>
      </c>
      <c r="N140" s="152">
        <f t="shared" ca="1" si="64"/>
        <v>150758.53</v>
      </c>
      <c r="O140" s="151">
        <f t="shared" ref="O140:O142" ca="1" si="65">IF(L140&gt;0,N140*100/L140,0)</f>
        <v>44.223681431504843</v>
      </c>
      <c r="P140" s="151">
        <f t="shared" ref="P140:P142" ca="1" si="66">IF(M140&gt;0,N140*100/M140,0)</f>
        <v>56.289939326052462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340900</v>
      </c>
      <c r="M142" s="157">
        <f t="shared" ca="1" si="68"/>
        <v>267825</v>
      </c>
      <c r="N142" s="157">
        <f t="shared" ca="1" si="68"/>
        <v>150758.53</v>
      </c>
      <c r="O142" s="156">
        <f t="shared" ca="1" si="65"/>
        <v>44.223681431504843</v>
      </c>
      <c r="P142" s="156">
        <f t="shared" ca="1" si="66"/>
        <v>56.289939326052462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340900</v>
      </c>
      <c r="M144" s="168">
        <f ca="1">IFERROR(__xludf.DUMMYFUNCTION("IMPORTRANGE(""https://docs.google.com/spreadsheets/d/1Yj_ptqi66GCucihVvJfMjLAmec39IyEx_6qawtMGysU/edit?usp=sharing"",""สบก!BJ72"")"),267825)</f>
        <v>267825</v>
      </c>
      <c r="N144" s="169">
        <f ca="1">IFERROR(__xludf.DUMMYFUNCTION("IMPORTRANGE(""https://docs.google.com/spreadsheets/d/1Yj_ptqi66GCucihVvJfMjLAmec39IyEx_6qawtMGysU/edit?usp=sharing"",""สบก!BK72"")"),150758.53)</f>
        <v>150758.53</v>
      </c>
      <c r="O144" s="169">
        <f ca="1">IF(L144&gt;0,N144*100/L144,0)</f>
        <v>44.223681431504843</v>
      </c>
      <c r="P144" s="169">
        <f ca="1">IF(M144&gt;0,N144*100/M144,0)</f>
        <v>56.289939326052462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IFERROR(__xludf.DUMMYFUNCTION("IMPORTRANGE(""https://docs.google.com/spreadsheets/d/1Yj_ptqi66GCucihVvJfMjLAmec39IyEx_6qawtMGysU/edit?usp=sharing"",""สบก!BF72"")"),232000)</f>
        <v>232000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IFERROR(__xludf.DUMMYFUNCTION("IMPORTRANGE(""https://docs.google.com/spreadsheets/d/1Yj_ptqi66GCucihVvJfMjLAmec39IyEx_6qawtMGysU/edit?usp=sharing"",""สบก!BG72"")"),108900)</f>
        <v>108900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IFERROR(__xludf.DUMMYFUNCTION("IMPORTRANGE(""https://docs.google.com/spreadsheets/d/1Yj_ptqi66GCucihVvJfMjLAmec39IyEx_6qawtMGysU/edit?usp=sharing"",""สบก!BH72"")"),0)</f>
        <v>0</v>
      </c>
      <c r="M148" s="49"/>
      <c r="N148" s="49">
        <f ca="1">IFERROR(__xludf.DUMMYFUNCTION("IMPORTRANGE(""https://docs.google.com/spreadsheets/d/1Yj_ptqi66GCucihVvJfMjLAmec39IyEx_6qawtMGysU/edit?usp=sharing"",""สบก!BL72"")"),0)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IFERROR(__xludf.DUMMYFUNCTION("IMPORTRANGE(""https://docs.google.com/spreadsheets/d/1SX6NBoVAgQJ6U1MVXOaj8PK2l7WJ3RER9xtqwdhxkhw/edit?usp=sharing"",""ระยอง!I74"")"),4)</f>
        <v>4</v>
      </c>
      <c r="J149" s="275">
        <f ca="1">IFERROR(__xludf.DUMMYFUNCTION("IMPORTRANGE(""https://docs.google.com/spreadsheets/d/1SX6NBoVAgQJ6U1MVXOaj8PK2l7WJ3RER9xtqwdhxkhw/edit?usp=sharing"",""ระยอง!J74"")"),2)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IFERROR(__xludf.DUMMYFUNCTION("IMPORTRANGE(""https://docs.google.com/spreadsheets/d/1SX6NBoVAgQJ6U1MVXOaj8PK2l7WJ3RER9xtqwdhxkhw/edit?usp=sharing"",""ระยอง!J79"")"),0)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IFERROR(__xludf.DUMMYFUNCTION("IMPORTRANGE(""https://docs.google.com/spreadsheets/d/1SX6NBoVAgQJ6U1MVXOaj8PK2l7WJ3RER9xtqwdhxkhw/edit?usp=sharing"",""ระยอง!J80"")"),1)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IFERROR(__xludf.DUMMYFUNCTION("IMPORTRANGE(""https://docs.google.com/spreadsheets/d/1SX6NBoVAgQJ6U1MVXOaj8PK2l7WJ3RER9xtqwdhxkhw/edit?usp=sharing"",""ระยอง!J81"")"),1)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IFERROR(__xludf.DUMMYFUNCTION("IMPORTRANGE(""https://docs.google.com/spreadsheets/d/1SX6NBoVAgQJ6U1MVXOaj8PK2l7WJ3RER9xtqwdhxkhw/edit?usp=sharing"",""ระยอง!J82"")"),1)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IFERROR(__xludf.DUMMYFUNCTION("IMPORTRANGE(""https://docs.google.com/spreadsheets/d/1SX6NBoVAgQJ6U1MVXOaj8PK2l7WJ3RER9xtqwdhxkhw/edit?usp=sharing"",""ระยอง!I83"")"),4)</f>
        <v>4</v>
      </c>
      <c r="J158" s="189">
        <f ca="1">IFERROR(__xludf.DUMMYFUNCTION("IMPORTRANGE(""https://docs.google.com/spreadsheets/d/1SX6NBoVAgQJ6U1MVXOaj8PK2l7WJ3RER9xtqwdhxkhw/edit?usp=sharing"",""ระยอง!J83"")"),2)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IFERROR(__xludf.DUMMYFUNCTION("IMPORTRANGE(""https://docs.google.com/spreadsheets/d/1SX6NBoVAgQJ6U1MVXOaj8PK2l7WJ3RER9xtqwdhxkhw/edit?usp=sharing"",""ระยอง!J84"")"),0)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IFERROR(__xludf.DUMMYFUNCTION("IMPORTRANGE(""https://docs.google.com/spreadsheets/d/1SX6NBoVAgQJ6U1MVXOaj8PK2l7WJ3RER9xtqwdhxkhw/edit?usp=sharing"",""ระยอง!J85"")"),0)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IFERROR(__xludf.DUMMYFUNCTION("IMPORTRANGE(""https://docs.google.com/spreadsheets/d/1SX6NBoVAgQJ6U1MVXOaj8PK2l7WJ3RER9xtqwdhxkhw/edit?usp=sharing"",""ระยอง!J86"")"),0)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IFERROR(__xludf.DUMMYFUNCTION("IMPORTRANGE(""https://docs.google.com/spreadsheets/d/1SX6NBoVAgQJ6U1MVXOaj8PK2l7WJ3RER9xtqwdhxkhw/edit?usp=sharing"",""ระยอง!J87"")"),0)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IFERROR(__xludf.DUMMYFUNCTION("IMPORTRANGE(""https://docs.google.com/spreadsheets/d/1SX6NBoVAgQJ6U1MVXOaj8PK2l7WJ3RER9xtqwdhxkhw/edit?usp=sharing"",""ระยอง!J88"")"),0)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IFERROR(__xludf.DUMMYFUNCTION("IMPORTRANGE(""https://docs.google.com/spreadsheets/d/1SX6NBoVAgQJ6U1MVXOaj8PK2l7WJ3RER9xtqwdhxkhw/edit?usp=sharing"",""ระยอง!I89"")"),1)</f>
        <v>1</v>
      </c>
      <c r="J164" s="284">
        <f ca="1">IFERROR(__xludf.DUMMYFUNCTION("IMPORTRANGE(""https://docs.google.com/spreadsheets/d/1SX6NBoVAgQJ6U1MVXOaj8PK2l7WJ3RER9xtqwdhxkhw/edit?usp=sharing"",""ระยอง!J89"")"),1)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IFERROR(__xludf.DUMMYFUNCTION("IMPORTRANGE(""https://docs.google.com/spreadsheets/d/1SX6NBoVAgQJ6U1MVXOaj8PK2l7WJ3RER9xtqwdhxkhw/edit?usp=sharing"",""ระยอง!J94"")"),0)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IFERROR(__xludf.DUMMYFUNCTION("IMPORTRANGE(""https://docs.google.com/spreadsheets/d/1SX6NBoVAgQJ6U1MVXOaj8PK2l7WJ3RER9xtqwdhxkhw/edit?usp=sharing"",""ระยอง!J95"")"),1)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IFERROR(__xludf.DUMMYFUNCTION("IMPORTRANGE(""https://docs.google.com/spreadsheets/d/1SX6NBoVAgQJ6U1MVXOaj8PK2l7WJ3RER9xtqwdhxkhw/edit?usp=sharing"",""ระยอง!J96"")"),1)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IFERROR(__xludf.DUMMYFUNCTION("IMPORTRANGE(""https://docs.google.com/spreadsheets/d/1SX6NBoVAgQJ6U1MVXOaj8PK2l7WJ3RER9xtqwdhxkhw/edit?usp=sharing"",""ระยอง!J97"")"),1)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IFERROR(__xludf.DUMMYFUNCTION("IMPORTRANGE(""https://docs.google.com/spreadsheets/d/1SX6NBoVAgQJ6U1MVXOaj8PK2l7WJ3RER9xtqwdhxkhw/edit?usp=sharing"",""ระยอง!I98"")"),1)</f>
        <v>1</v>
      </c>
      <c r="J173" s="189">
        <f ca="1">IFERROR(__xludf.DUMMYFUNCTION("IMPORTRANGE(""https://docs.google.com/spreadsheets/d/1SX6NBoVAgQJ6U1MVXOaj8PK2l7WJ3RER9xtqwdhxkhw/edit?usp=sharing"",""ระยอง!J98"")"),1)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IFERROR(__xludf.DUMMYFUNCTION("IMPORTRANGE(""https://docs.google.com/spreadsheets/d/1SX6NBoVAgQJ6U1MVXOaj8PK2l7WJ3RER9xtqwdhxkhw/edit?usp=sharing"",""ระยอง!J99"")"),0)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IFERROR(__xludf.DUMMYFUNCTION("IMPORTRANGE(""https://docs.google.com/spreadsheets/d/1SX6NBoVAgQJ6U1MVXOaj8PK2l7WJ3RER9xtqwdhxkhw/edit?usp=sharing"",""ระยอง!J100"")"),0)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IFERROR(__xludf.DUMMYFUNCTION("IMPORTRANGE(""https://docs.google.com/spreadsheets/d/1SX6NBoVAgQJ6U1MVXOaj8PK2l7WJ3RER9xtqwdhxkhw/edit?usp=sharing"",""ระยอง!I101"")"),0)</f>
        <v>0</v>
      </c>
      <c r="J176" s="284">
        <f ca="1">IFERROR(__xludf.DUMMYFUNCTION("IMPORTRANGE(""https://docs.google.com/spreadsheets/d/1SX6NBoVAgQJ6U1MVXOaj8PK2l7WJ3RER9xtqwdhxkhw/edit?usp=sharing"",""ระยอง!J101"")"),0)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IFERROR(__xludf.DUMMYFUNCTION("IMPORTRANGE(""https://docs.google.com/spreadsheets/d/1SX6NBoVAgQJ6U1MVXOaj8PK2l7WJ3RER9xtqwdhxkhw/edit?usp=sharing"",""ระยอง!J106"")"),0)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IFERROR(__xludf.DUMMYFUNCTION("IMPORTRANGE(""https://docs.google.com/spreadsheets/d/1SX6NBoVAgQJ6U1MVXOaj8PK2l7WJ3RER9xtqwdhxkhw/edit?usp=sharing"",""ระยอง!J107"")"),0)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IFERROR(__xludf.DUMMYFUNCTION("IMPORTRANGE(""https://docs.google.com/spreadsheets/d/1SX6NBoVAgQJ6U1MVXOaj8PK2l7WJ3RER9xtqwdhxkhw/edit?usp=sharing"",""ระยอง!J108"")"),0)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IFERROR(__xludf.DUMMYFUNCTION("IMPORTRANGE(""https://docs.google.com/spreadsheets/d/1SX6NBoVAgQJ6U1MVXOaj8PK2l7WJ3RER9xtqwdhxkhw/edit?usp=sharing"",""ระยอง!J109"")"),0)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IFERROR(__xludf.DUMMYFUNCTION("IMPORTRANGE(""https://docs.google.com/spreadsheets/d/1SX6NBoVAgQJ6U1MVXOaj8PK2l7WJ3RER9xtqwdhxkhw/edit?usp=sharing"",""ระยอง!I110"")"),0)</f>
        <v>0</v>
      </c>
      <c r="J185" s="204">
        <f ca="1">IFERROR(__xludf.DUMMYFUNCTION("IMPORTRANGE(""https://docs.google.com/spreadsheets/d/1SX6NBoVAgQJ6U1MVXOaj8PK2l7WJ3RER9xtqwdhxkhw/edit?usp=sharing"",""ระยอง!J110"")"),0)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IFERROR(__xludf.DUMMYFUNCTION("IMPORTRANGE(""https://docs.google.com/spreadsheets/d/1SX6NBoVAgQJ6U1MVXOaj8PK2l7WJ3RER9xtqwdhxkhw/edit?usp=sharing"",""ระยอง!I111"")"),0)</f>
        <v>0</v>
      </c>
      <c r="J186" s="204">
        <f ca="1">IFERROR(__xludf.DUMMYFUNCTION("IMPORTRANGE(""https://docs.google.com/spreadsheets/d/1SX6NBoVAgQJ6U1MVXOaj8PK2l7WJ3RER9xtqwdhxkhw/edit?usp=sharing"",""ระยอง!J111"")"),0)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IFERROR(__xludf.DUMMYFUNCTION("IMPORTRANGE(""https://docs.google.com/spreadsheets/d/1SX6NBoVAgQJ6U1MVXOaj8PK2l7WJ3RER9xtqwdhxkhw/edit?usp=sharing"",""ระยอง!J112"")"),0)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IFERROR(__xludf.DUMMYFUNCTION("IMPORTRANGE(""https://docs.google.com/spreadsheets/d/1SX6NBoVAgQJ6U1MVXOaj8PK2l7WJ3RER9xtqwdhxkhw/edit?usp=sharing"",""ระยอง!J113"")"),0)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IFERROR(__xludf.DUMMYFUNCTION("IMPORTRANGE(""https://docs.google.com/spreadsheets/d/1SX6NBoVAgQJ6U1MVXOaj8PK2l7WJ3RER9xtqwdhxkhw/edit?usp=sharing"",""ระยอง!I114"")"),6400)</f>
        <v>6400</v>
      </c>
      <c r="J189" s="284">
        <f ca="1">IFERROR(__xludf.DUMMYFUNCTION("IMPORTRANGE(""https://docs.google.com/spreadsheets/d/1SX6NBoVAgQJ6U1MVXOaj8PK2l7WJ3RER9xtqwdhxkhw/edit?usp=sharing"",""ระยอง!J114"")"),0)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IFERROR(__xludf.DUMMYFUNCTION("IMPORTRANGE(""https://docs.google.com/spreadsheets/d/1SX6NBoVAgQJ6U1MVXOaj8PK2l7WJ3RER9xtqwdhxkhw/edit?usp=sharing"",""ระยอง!J119"")"),0)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IFERROR(__xludf.DUMMYFUNCTION("IMPORTRANGE(""https://docs.google.com/spreadsheets/d/1SX6NBoVAgQJ6U1MVXOaj8PK2l7WJ3RER9xtqwdhxkhw/edit?usp=sharing"",""ระยอง!J120"")"),1)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IFERROR(__xludf.DUMMYFUNCTION("IMPORTRANGE(""https://docs.google.com/spreadsheets/d/1SX6NBoVAgQJ6U1MVXOaj8PK2l7WJ3RER9xtqwdhxkhw/edit?usp=sharing"",""ระยอง!J121"")"),1)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IFERROR(__xludf.DUMMYFUNCTION("IMPORTRANGE(""https://docs.google.com/spreadsheets/d/1SX6NBoVAgQJ6U1MVXOaj8PK2l7WJ3RER9xtqwdhxkhw/edit?usp=sharing"",""ระยอง!J122"")"),0)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IFERROR(__xludf.DUMMYFUNCTION("IMPORTRANGE(""https://docs.google.com/spreadsheets/d/1SX6NBoVAgQJ6U1MVXOaj8PK2l7WJ3RER9xtqwdhxkhw/edit?usp=sharing"",""ระยอง!I124"")"),6400)</f>
        <v>6400</v>
      </c>
      <c r="J199" s="189">
        <f ca="1">IFERROR(__xludf.DUMMYFUNCTION("IMPORTRANGE(""https://docs.google.com/spreadsheets/d/1SX6NBoVAgQJ6U1MVXOaj8PK2l7WJ3RER9xtqwdhxkhw/edit?usp=sharing"",""ระยอง!J124"")"),0)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IFERROR(__xludf.DUMMYFUNCTION("IMPORTRANGE(""https://docs.google.com/spreadsheets/d/1SX6NBoVAgQJ6U1MVXOaj8PK2l7WJ3RER9xtqwdhxkhw/edit?usp=sharing"",""ระยอง!I125"")"),6400)</f>
        <v>6400</v>
      </c>
      <c r="J200" s="189">
        <f ca="1">IFERROR(__xludf.DUMMYFUNCTION("IMPORTRANGE(""https://docs.google.com/spreadsheets/d/1SX6NBoVAgQJ6U1MVXOaj8PK2l7WJ3RER9xtqwdhxkhw/edit?usp=sharing"",""ระยอง!J125"")"),0)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IFERROR(__xludf.DUMMYFUNCTION("IMPORTRANGE(""https://docs.google.com/spreadsheets/d/1SX6NBoVAgQJ6U1MVXOaj8PK2l7WJ3RER9xtqwdhxkhw/edit?usp=sharing"",""ระยอง!I126"")"),0)</f>
        <v>0</v>
      </c>
      <c r="J201" s="189">
        <f ca="1">IFERROR(__xludf.DUMMYFUNCTION("IMPORTRANGE(""https://docs.google.com/spreadsheets/d/1SX6NBoVAgQJ6U1MVXOaj8PK2l7WJ3RER9xtqwdhxkhw/edit?usp=sharing"",""ระยอง!J126"")"),0)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IFERROR(__xludf.DUMMYFUNCTION("IMPORTRANGE(""https://docs.google.com/spreadsheets/d/1SX6NBoVAgQJ6U1MVXOaj8PK2l7WJ3RER9xtqwdhxkhw/edit?usp=sharing"",""ระยอง!J127"")"),0)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IFERROR(__xludf.DUMMYFUNCTION("IMPORTRANGE(""https://docs.google.com/spreadsheets/d/1SX6NBoVAgQJ6U1MVXOaj8PK2l7WJ3RER9xtqwdhxkhw/edit?usp=sharing"",""ระยอง!J128"")"),0)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IFERROR(__xludf.DUMMYFUNCTION("IMPORTRANGE(""https://docs.google.com/spreadsheets/d/1SX6NBoVAgQJ6U1MVXOaj8PK2l7WJ3RER9xtqwdhxkhw/edit?usp=sharing"",""ระยอง!I129"")"),20)</f>
        <v>20</v>
      </c>
      <c r="J204" s="284">
        <f ca="1">IFERROR(__xludf.DUMMYFUNCTION("IMPORTRANGE(""https://docs.google.com/spreadsheets/d/1SX6NBoVAgQJ6U1MVXOaj8PK2l7WJ3RER9xtqwdhxkhw/edit?usp=sharing"",""ระยอง!J129"")"),20)</f>
        <v>20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IFERROR(__xludf.DUMMYFUNCTION("IMPORTRANGE(""https://docs.google.com/spreadsheets/d/1SX6NBoVAgQJ6U1MVXOaj8PK2l7WJ3RER9xtqwdhxkhw/edit?usp=sharing"",""ระยอง!J134"")"),0)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IFERROR(__xludf.DUMMYFUNCTION("IMPORTRANGE(""https://docs.google.com/spreadsheets/d/1SX6NBoVAgQJ6U1MVXOaj8PK2l7WJ3RER9xtqwdhxkhw/edit?usp=sharing"",""ระยอง!J135"")"),1)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IFERROR(__xludf.DUMMYFUNCTION("IMPORTRANGE(""https://docs.google.com/spreadsheets/d/1SX6NBoVAgQJ6U1MVXOaj8PK2l7WJ3RER9xtqwdhxkhw/edit?usp=sharing"",""ระยอง!J136"")"),1)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IFERROR(__xludf.DUMMYFUNCTION("IMPORTRANGE(""https://docs.google.com/spreadsheets/d/1SX6NBoVAgQJ6U1MVXOaj8PK2l7WJ3RER9xtqwdhxkhw/edit?usp=sharing"",""ระยอง!J137"")"),0)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IFERROR(__xludf.DUMMYFUNCTION("IMPORTRANGE(""https://docs.google.com/spreadsheets/d/1SX6NBoVAgQJ6U1MVXOaj8PK2l7WJ3RER9xtqwdhxkhw/edit?usp=sharing"",""ระยอง!I138"")"),20)</f>
        <v>20</v>
      </c>
      <c r="J213" s="204">
        <f ca="1">IFERROR(__xludf.DUMMYFUNCTION("IMPORTRANGE(""https://docs.google.com/spreadsheets/d/1SX6NBoVAgQJ6U1MVXOaj8PK2l7WJ3RER9xtqwdhxkhw/edit?usp=sharing"",""ระยอง!J138"")"),20)</f>
        <v>20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IFERROR(__xludf.DUMMYFUNCTION("IMPORTRANGE(""https://docs.google.com/spreadsheets/d/1SX6NBoVAgQJ6U1MVXOaj8PK2l7WJ3RER9xtqwdhxkhw/edit?usp=sharing"",""ระยอง!I140"")"),20)</f>
        <v>20</v>
      </c>
      <c r="J215" s="204">
        <f ca="1">IFERROR(__xludf.DUMMYFUNCTION("IMPORTRANGE(""https://docs.google.com/spreadsheets/d/1SX6NBoVAgQJ6U1MVXOaj8PK2l7WJ3RER9xtqwdhxkhw/edit?usp=sharing"",""ระยอง!J140"")"),0)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IFERROR(__xludf.DUMMYFUNCTION("IMPORTRANGE(""https://docs.google.com/spreadsheets/d/1SX6NBoVAgQJ6U1MVXOaj8PK2l7WJ3RER9xtqwdhxkhw/edit?usp=sharing"",""ระยอง!I141"")"),0)</f>
        <v>0</v>
      </c>
      <c r="J216" s="204">
        <f ca="1">IFERROR(__xludf.DUMMYFUNCTION("IMPORTRANGE(""https://docs.google.com/spreadsheets/d/1SX6NBoVAgQJ6U1MVXOaj8PK2l7WJ3RER9xtqwdhxkhw/edit?usp=sharing"",""ระยอง!J141"")"),0)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IFERROR(__xludf.DUMMYFUNCTION("IMPORTRANGE(""https://docs.google.com/spreadsheets/d/1SX6NBoVAgQJ6U1MVXOaj8PK2l7WJ3RER9xtqwdhxkhw/edit?usp=sharing"",""ระยอง!J142"")"),0)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IFERROR(__xludf.DUMMYFUNCTION("IMPORTRANGE(""https://docs.google.com/spreadsheets/d/1SX6NBoVAgQJ6U1MVXOaj8PK2l7WJ3RER9xtqwdhxkhw/edit?usp=sharing"",""ระยอง!J143"")"),0)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IFERROR(__xludf.DUMMYFUNCTION("IMPORTRANGE(""https://docs.google.com/spreadsheets/d/1SX6NBoVAgQJ6U1MVXOaj8PK2l7WJ3RER9xtqwdhxkhw/edit?usp=sharing"",""ระยอง!I144"")"),15)</f>
        <v>15</v>
      </c>
      <c r="J219" s="267">
        <f ca="1">IFERROR(__xludf.DUMMYFUNCTION("IMPORTRANGE(""https://docs.google.com/spreadsheets/d/1SX6NBoVAgQJ6U1MVXOaj8PK2l7WJ3RER9xtqwdhxkhw/edit?usp=sharing"",""ระยอง!J144"")"),15)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IFERROR(__xludf.DUMMYFUNCTION("IMPORTRANGE(""https://docs.google.com/spreadsheets/d/1Yj_ptqi66GCucihVvJfMjLAmec39IyEx_6qawtMGysU/edit?usp=sharing"",""สบก!BS72"")"),21125)</f>
        <v>21125</v>
      </c>
      <c r="N224" s="169">
        <f ca="1">IFERROR(__xludf.DUMMYFUNCTION("IMPORTRANGE(""https://docs.google.com/spreadsheets/d/1Yj_ptqi66GCucihVvJfMjLAmec39IyEx_6qawtMGysU/edit?usp=sharing"",""สบก!BT72"")"),21125)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IFERROR(__xludf.DUMMYFUNCTION("IMPORTRANGE(""https://docs.google.com/spreadsheets/d/1Yj_ptqi66GCucihVvJfMjLAmec39IyEx_6qawtMGysU/edit?usp=sharing"",""สบก!BO72"")"),0)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IFERROR(__xludf.DUMMYFUNCTION("IMPORTRANGE(""https://docs.google.com/spreadsheets/d/1Yj_ptqi66GCucihVvJfMjLAmec39IyEx_6qawtMGysU/edit?usp=sharing"",""สบก!BP72"")"),21125)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IFERROR(__xludf.DUMMYFUNCTION("IMPORTRANGE(""https://docs.google.com/spreadsheets/d/1Yj_ptqi66GCucihVvJfMjLAmec39IyEx_6qawtMGysU/edit?usp=sharing"",""สบก!BQ72"")"),0)</f>
        <v>0</v>
      </c>
      <c r="M228" s="49"/>
      <c r="N228" s="49">
        <f ca="1">IFERROR(__xludf.DUMMYFUNCTION("IMPORTRANGE(""https://docs.google.com/spreadsheets/d/1Yj_ptqi66GCucihVvJfMjLAmec39IyEx_6qawtMGysU/edit?usp=sharing"",""สบก!BU72"")"),0)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IFERROR(__xludf.DUMMYFUNCTION("IMPORTRANGE(""https://docs.google.com/spreadsheets/d/1SX6NBoVAgQJ6U1MVXOaj8PK2l7WJ3RER9xtqwdhxkhw/edit?usp=sharing"",""ระยอง!I149"")"),15)</f>
        <v>15</v>
      </c>
      <c r="J229" s="267">
        <f ca="1">IFERROR(__xludf.DUMMYFUNCTION("IMPORTRANGE(""https://docs.google.com/spreadsheets/d/1SX6NBoVAgQJ6U1MVXOaj8PK2l7WJ3RER9xtqwdhxkhw/edit?usp=sharing"",""ระยอง!J149"")"),15)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IFERROR(__xludf.DUMMYFUNCTION("IMPORTRANGE(""https://docs.google.com/spreadsheets/d/1SX6NBoVAgQJ6U1MVXOaj8PK2l7WJ3RER9xtqwdhxkhw/edit?usp=sharing"",""ระยอง!J151"")"),0)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IFERROR(__xludf.DUMMYFUNCTION("IMPORTRANGE(""https://docs.google.com/spreadsheets/d/1SX6NBoVAgQJ6U1MVXOaj8PK2l7WJ3RER9xtqwdhxkhw/edit?usp=sharing"",""ระยอง!J152"")"),1)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IFERROR(__xludf.DUMMYFUNCTION("IMPORTRANGE(""https://docs.google.com/spreadsheets/d/1SX6NBoVAgQJ6U1MVXOaj8PK2l7WJ3RER9xtqwdhxkhw/edit?usp=sharing"",""ระยอง!J153"")"),1)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IFERROR(__xludf.DUMMYFUNCTION("IMPORTRANGE(""https://docs.google.com/spreadsheets/d/1SX6NBoVAgQJ6U1MVXOaj8PK2l7WJ3RER9xtqwdhxkhw/edit?usp=sharing"",""ระยอง!J154"")"),1)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IFERROR(__xludf.DUMMYFUNCTION("IMPORTRANGE(""https://docs.google.com/spreadsheets/d/1SX6NBoVAgQJ6U1MVXOaj8PK2l7WJ3RER9xtqwdhxkhw/edit?usp=sharing"",""ระยอง!I155"")"),15)</f>
        <v>15</v>
      </c>
      <c r="J235" s="189">
        <f ca="1">IFERROR(__xludf.DUMMYFUNCTION("IMPORTRANGE(""https://docs.google.com/spreadsheets/d/1SX6NBoVAgQJ6U1MVXOaj8PK2l7WJ3RER9xtqwdhxkhw/edit?usp=sharing"",""ระยอง!J155"")"),15)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IFERROR(__xludf.DUMMYFUNCTION("IMPORTRANGE(""https://docs.google.com/spreadsheets/d/1SX6NBoVAgQJ6U1MVXOaj8PK2l7WJ3RER9xtqwdhxkhw/edit?usp=sharing"",""ระยอง!J156"")"),0)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IFERROR(__xludf.DUMMYFUNCTION("IMPORTRANGE(""https://docs.google.com/spreadsheets/d/1SX6NBoVAgQJ6U1MVXOaj8PK2l7WJ3RER9xtqwdhxkhw/edit?usp=sharing"",""ระยอง!J157"")"),0)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IFERROR(__xludf.DUMMYFUNCTION("IMPORTRANGE(""https://docs.google.com/spreadsheets/d/1SX6NBoVAgQJ6U1MVXOaj8PK2l7WJ3RER9xtqwdhxkhw/edit?usp=sharing"",""ระยอง!I158"")"),0)</f>
        <v>0</v>
      </c>
      <c r="J238" s="267">
        <f ca="1">IFERROR(__xludf.DUMMYFUNCTION("IMPORTRANGE(""https://docs.google.com/spreadsheets/d/1SX6NBoVAgQJ6U1MVXOaj8PK2l7WJ3RER9xtqwdhxkhw/edit?usp=sharing"",""ระยอง!J158"")"),0)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IFERROR(__xludf.DUMMYFUNCTION("IMPORTRANGE(""https://docs.google.com/spreadsheets/d/1SX6NBoVAgQJ6U1MVXOaj8PK2l7WJ3RER9xtqwdhxkhw/edit?usp=sharing"",""ระยอง!J159"")"),"")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IFERROR(__xludf.DUMMYFUNCTION("IMPORTRANGE(""https://docs.google.com/spreadsheets/d/1SX6NBoVAgQJ6U1MVXOaj8PK2l7WJ3RER9xtqwdhxkhw/edit?usp=sharing"",""ระยอง!J161"")"),0)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IFERROR(__xludf.DUMMYFUNCTION("IMPORTRANGE(""https://docs.google.com/spreadsheets/d/1SX6NBoVAgQJ6U1MVXOaj8PK2l7WJ3RER9xtqwdhxkhw/edit?usp=sharing"",""ระยอง!J162"")"),0)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IFERROR(__xludf.DUMMYFUNCTION("IMPORTRANGE(""https://docs.google.com/spreadsheets/d/1SX6NBoVAgQJ6U1MVXOaj8PK2l7WJ3RER9xtqwdhxkhw/edit?usp=sharing"",""ระยอง!J163"")"),0)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IFERROR(__xludf.DUMMYFUNCTION("IMPORTRANGE(""https://docs.google.com/spreadsheets/d/1SX6NBoVAgQJ6U1MVXOaj8PK2l7WJ3RER9xtqwdhxkhw/edit?usp=sharing"",""ระยอง!I164"")"),0)</f>
        <v>0</v>
      </c>
      <c r="J244" s="188">
        <f ca="1">IFERROR(__xludf.DUMMYFUNCTION("IMPORTRANGE(""https://docs.google.com/spreadsheets/d/1SX6NBoVAgQJ6U1MVXOaj8PK2l7WJ3RER9xtqwdhxkhw/edit?usp=sharing"",""ระยอง!J164"")"),0)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IFERROR(__xludf.DUMMYFUNCTION("IMPORTRANGE(""https://docs.google.com/spreadsheets/d/1SX6NBoVAgQJ6U1MVXOaj8PK2l7WJ3RER9xtqwdhxkhw/edit?usp=sharing"",""ระยอง!J165"")"),0)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IFERROR(__xludf.DUMMYFUNCTION("IMPORTRANGE(""https://docs.google.com/spreadsheets/d/1SX6NBoVAgQJ6U1MVXOaj8PK2l7WJ3RER9xtqwdhxkhw/edit?usp=sharing"",""ระยอง!J166"")"),0)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IFERROR(__xludf.DUMMYFUNCTION("IMPORTRANGE(""https://docs.google.com/spreadsheets/d/1SX6NBoVAgQJ6U1MVXOaj8PK2l7WJ3RER9xtqwdhxkhw/edit?usp=sharing"",""ระยอง!I169"")"),25)</f>
        <v>25</v>
      </c>
      <c r="J249" s="316">
        <f ca="1">IFERROR(__xludf.DUMMYFUNCTION("IMPORTRANGE(""https://docs.google.com/spreadsheets/d/1SX6NBoVAgQJ6U1MVXOaj8PK2l7WJ3RER9xtqwdhxkhw/edit?usp=sharing"",""ระยอง!J169"")"),25)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177000</v>
      </c>
      <c r="N250" s="152">
        <f t="shared" ca="1" si="77"/>
        <v>83633</v>
      </c>
      <c r="O250" s="151">
        <f t="shared" ref="O250:O252" ca="1" si="78">IF(L250&gt;0,N250*100/L250,0)</f>
        <v>42.026633165829146</v>
      </c>
      <c r="P250" s="151">
        <f t="shared" ref="P250:P252" ca="1" si="79">IF(M250&gt;0,N250*100/M250,0)</f>
        <v>47.250282485875708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177000</v>
      </c>
      <c r="N252" s="157">
        <f t="shared" ca="1" si="81"/>
        <v>83633</v>
      </c>
      <c r="O252" s="156">
        <f t="shared" ca="1" si="78"/>
        <v>42.026633165829146</v>
      </c>
      <c r="P252" s="156">
        <f t="shared" ca="1" si="79"/>
        <v>47.250282485875708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IFERROR(__xludf.DUMMYFUNCTION("IMPORTRANGE(""https://docs.google.com/spreadsheets/d/1Yj_ptqi66GCucihVvJfMjLAmec39IyEx_6qawtMGysU/edit?usp=sharing"",""สบก!CB72"")"),177000)</f>
        <v>177000</v>
      </c>
      <c r="N254" s="169">
        <f ca="1">IFERROR(__xludf.DUMMYFUNCTION("IMPORTRANGE(""https://docs.google.com/spreadsheets/d/1Yj_ptqi66GCucihVvJfMjLAmec39IyEx_6qawtMGysU/edit?usp=sharing"",""สบก!CC72"")"),83633)</f>
        <v>83633</v>
      </c>
      <c r="O254" s="169">
        <f ca="1">IF(L254&gt;0,N254*100/L254,0)</f>
        <v>42.026633165829146</v>
      </c>
      <c r="P254" s="169">
        <f ca="1">IF(M254&gt;0,N254*100/M254,0)</f>
        <v>47.250282485875708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IFERROR(__xludf.DUMMYFUNCTION("IMPORTRANGE(""https://docs.google.com/spreadsheets/d/1Yj_ptqi66GCucihVvJfMjLAmec39IyEx_6qawtMGysU/edit?usp=sharing"",""สบก!BX72"")"),0)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IFERROR(__xludf.DUMMYFUNCTION("IMPORTRANGE(""https://docs.google.com/spreadsheets/d/1Yj_ptqi66GCucihVvJfMjLAmec39IyEx_6qawtMGysU/edit?usp=sharing"",""สบก!BY72"")"),199000)</f>
        <v>199000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IFERROR(__xludf.DUMMYFUNCTION("IMPORTRANGE(""https://docs.google.com/spreadsheets/d/1Yj_ptqi66GCucihVvJfMjLAmec39IyEx_6qawtMGysU/edit?usp=sharing"",""สบก!BZ72"")"),0)</f>
        <v>0</v>
      </c>
      <c r="M258" s="49"/>
      <c r="N258" s="49">
        <f ca="1">IFERROR(__xludf.DUMMYFUNCTION("IMPORTRANGE(""https://docs.google.com/spreadsheets/d/1Yj_ptqi66GCucihVvJfMjLAmec39IyEx_6qawtMGysU/edit?usp=sharing"",""สบก!CD72"")"),0)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IFERROR(__xludf.DUMMYFUNCTION("IMPORTRANGE(""https://docs.google.com/spreadsheets/d/1SX6NBoVAgQJ6U1MVXOaj8PK2l7WJ3RER9xtqwdhxkhw/edit?usp=sharing"",""ระยอง!J175"")"),0)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IFERROR(__xludf.DUMMYFUNCTION("IMPORTRANGE(""https://docs.google.com/spreadsheets/d/1SX6NBoVAgQJ6U1MVXOaj8PK2l7WJ3RER9xtqwdhxkhw/edit?usp=sharing"",""ระยอง!J176"")"),1)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IFERROR(__xludf.DUMMYFUNCTION("IMPORTRANGE(""https://docs.google.com/spreadsheets/d/1SX6NBoVAgQJ6U1MVXOaj8PK2l7WJ3RER9xtqwdhxkhw/edit?usp=sharing"",""ระยอง!J177"")"),1)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IFERROR(__xludf.DUMMYFUNCTION("IMPORTRANGE(""https://docs.google.com/spreadsheets/d/1SX6NBoVAgQJ6U1MVXOaj8PK2l7WJ3RER9xtqwdhxkhw/edit?usp=sharing"",""ระยอง!J178"")"),1)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IFERROR(__xludf.DUMMYFUNCTION("IMPORTRANGE(""https://docs.google.com/spreadsheets/d/1SX6NBoVAgQJ6U1MVXOaj8PK2l7WJ3RER9xtqwdhxkhw/edit?usp=sharing"",""ระยอง!I179"")"),1)</f>
        <v>1</v>
      </c>
      <c r="J264" s="189">
        <f ca="1">IFERROR(__xludf.DUMMYFUNCTION("IMPORTRANGE(""https://docs.google.com/spreadsheets/d/1SX6NBoVAgQJ6U1MVXOaj8PK2l7WJ3RER9xtqwdhxkhw/edit?usp=sharing"",""ระยอง!J179"")"),1)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IFERROR(__xludf.DUMMYFUNCTION("IMPORTRANGE(""https://docs.google.com/spreadsheets/d/1SX6NBoVAgQJ6U1MVXOaj8PK2l7WJ3RER9xtqwdhxkhw/edit?usp=sharing"",""ระยอง!I180"")"),25)</f>
        <v>25</v>
      </c>
      <c r="J265" s="189">
        <f ca="1">IFERROR(__xludf.DUMMYFUNCTION("IMPORTRANGE(""https://docs.google.com/spreadsheets/d/1SX6NBoVAgQJ6U1MVXOaj8PK2l7WJ3RER9xtqwdhxkhw/edit?usp=sharing"",""ระยอง!J180"")"),25)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IFERROR(__xludf.DUMMYFUNCTION("IMPORTRANGE(""https://docs.google.com/spreadsheets/d/1SX6NBoVAgQJ6U1MVXOaj8PK2l7WJ3RER9xtqwdhxkhw/edit?usp=sharing"",""ระยอง!I181"")"),25)</f>
        <v>25</v>
      </c>
      <c r="J266" s="189">
        <f ca="1">IFERROR(__xludf.DUMMYFUNCTION("IMPORTRANGE(""https://docs.google.com/spreadsheets/d/1SX6NBoVAgQJ6U1MVXOaj8PK2l7WJ3RER9xtqwdhxkhw/edit?usp=sharing"",""ระยอง!J181"")"),0)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IFERROR(__xludf.DUMMYFUNCTION("IMPORTRANGE(""https://docs.google.com/spreadsheets/d/1SX6NBoVAgQJ6U1MVXOaj8PK2l7WJ3RER9xtqwdhxkhw/edit?usp=sharing"",""ระยอง!I182"")"),1)</f>
        <v>1</v>
      </c>
      <c r="J267" s="189">
        <f ca="1">IFERROR(__xludf.DUMMYFUNCTION("IMPORTRANGE(""https://docs.google.com/spreadsheets/d/1SX6NBoVAgQJ6U1MVXOaj8PK2l7WJ3RER9xtqwdhxkhw/edit?usp=sharing"",""ระยอง!J182"")"),1)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IFERROR(__xludf.DUMMYFUNCTION("IMPORTRANGE(""https://docs.google.com/spreadsheets/d/1SX6NBoVAgQJ6U1MVXOaj8PK2l7WJ3RER9xtqwdhxkhw/edit?usp=sharing"",""ระยอง!J183"")"),0)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IFERROR(__xludf.DUMMYFUNCTION("IMPORTRANGE(""https://docs.google.com/spreadsheets/d/1SX6NBoVAgQJ6U1MVXOaj8PK2l7WJ3RER9xtqwdhxkhw/edit?usp=sharing"",""ระยอง!J184"")"),0)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IFERROR(__xludf.DUMMYFUNCTION("IMPORTRANGE(""https://docs.google.com/spreadsheets/d/1SX6NBoVAgQJ6U1MVXOaj8PK2l7WJ3RER9xtqwdhxkhw/edit?usp=sharing"",""ระยอง!I185"")"),15)</f>
        <v>15</v>
      </c>
      <c r="J270" s="316">
        <f ca="1">IFERROR(__xludf.DUMMYFUNCTION("IMPORTRANGE(""https://docs.google.com/spreadsheets/d/1SX6NBoVAgQJ6U1MVXOaj8PK2l7WJ3RER9xtqwdhxkhw/edit?usp=sharing"",""ระยอง!J185"")"),15)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29710</v>
      </c>
      <c r="O271" s="151">
        <f t="shared" ref="O271:O273" ca="1" si="84">IF(L271&gt;0,N271*100/L271,0)</f>
        <v>53.822463768115945</v>
      </c>
      <c r="P271" s="151">
        <f t="shared" ref="P271:P273" ca="1" si="85">IF(M271&gt;0,N271*100/M271,0)</f>
        <v>92.124031007751938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29710</v>
      </c>
      <c r="O273" s="156">
        <f t="shared" ca="1" si="84"/>
        <v>53.822463768115945</v>
      </c>
      <c r="P273" s="156">
        <f t="shared" ca="1" si="85"/>
        <v>92.124031007751938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IFERROR(__xludf.DUMMYFUNCTION("IMPORTRANGE(""https://docs.google.com/spreadsheets/d/1Yj_ptqi66GCucihVvJfMjLAmec39IyEx_6qawtMGysU/edit?usp=sharing"",""สบก!CK72"")"),32250)</f>
        <v>32250</v>
      </c>
      <c r="N275" s="169">
        <f ca="1">IFERROR(__xludf.DUMMYFUNCTION("IMPORTRANGE(""https://docs.google.com/spreadsheets/d/1Yj_ptqi66GCucihVvJfMjLAmec39IyEx_6qawtMGysU/edit?usp=sharing"",""สบก!CL72"")"),29710)</f>
        <v>29710</v>
      </c>
      <c r="O275" s="169">
        <f ca="1">IF(L275&gt;0,N275*100/L275,0)</f>
        <v>53.822463768115945</v>
      </c>
      <c r="P275" s="169">
        <f ca="1">IF(M275&gt;0,N275*100/M275,0)</f>
        <v>92.124031007751938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IFERROR(__xludf.DUMMYFUNCTION("IMPORTRANGE(""https://docs.google.com/spreadsheets/d/1Yj_ptqi66GCucihVvJfMjLAmec39IyEx_6qawtMGysU/edit?usp=sharing"",""สบก!CG72"")"),0)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IFERROR(__xludf.DUMMYFUNCTION("IMPORTRANGE(""https://docs.google.com/spreadsheets/d/1Yj_ptqi66GCucihVvJfMjLAmec39IyEx_6qawtMGysU/edit?usp=sharing"",""สบก!CH72"")"),55200)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IFERROR(__xludf.DUMMYFUNCTION("IMPORTRANGE(""https://docs.google.com/spreadsheets/d/1Yj_ptqi66GCucihVvJfMjLAmec39IyEx_6qawtMGysU/edit?usp=sharing"",""สบก!CI72"")"),0)</f>
        <v>0</v>
      </c>
      <c r="M279" s="49"/>
      <c r="N279" s="49">
        <f ca="1">IFERROR(__xludf.DUMMYFUNCTION("IMPORTRANGE(""https://docs.google.com/spreadsheets/d/1Yj_ptqi66GCucihVvJfMjLAmec39IyEx_6qawtMGysU/edit?usp=sharing"",""สบก!CM72"")"),0)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IFERROR(__xludf.DUMMYFUNCTION("IMPORTRANGE(""https://docs.google.com/spreadsheets/d/1SX6NBoVAgQJ6U1MVXOaj8PK2l7WJ3RER9xtqwdhxkhw/edit?usp=sharing"",""ระยอง!J191"")"),0)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IFERROR(__xludf.DUMMYFUNCTION("IMPORTRANGE(""https://docs.google.com/spreadsheets/d/1SX6NBoVAgQJ6U1MVXOaj8PK2l7WJ3RER9xtqwdhxkhw/edit?usp=sharing"",""ระยอง!J192"")"),1)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IFERROR(__xludf.DUMMYFUNCTION("IMPORTRANGE(""https://docs.google.com/spreadsheets/d/1SX6NBoVAgQJ6U1MVXOaj8PK2l7WJ3RER9xtqwdhxkhw/edit?usp=sharing"",""ระยอง!J193"")"),1)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IFERROR(__xludf.DUMMYFUNCTION("IMPORTRANGE(""https://docs.google.com/spreadsheets/d/1SX6NBoVAgQJ6U1MVXOaj8PK2l7WJ3RER9xtqwdhxkhw/edit?usp=sharing"",""ระยอง!J194"")"),1)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IFERROR(__xludf.DUMMYFUNCTION("IMPORTRANGE(""https://docs.google.com/spreadsheets/d/1SX6NBoVAgQJ6U1MVXOaj8PK2l7WJ3RER9xtqwdhxkhw/edit?usp=sharing"",""ระยอง!I195"")"),15)</f>
        <v>15</v>
      </c>
      <c r="J285" s="189">
        <f ca="1">IFERROR(__xludf.DUMMYFUNCTION("IMPORTRANGE(""https://docs.google.com/spreadsheets/d/1SX6NBoVAgQJ6U1MVXOaj8PK2l7WJ3RER9xtqwdhxkhw/edit?usp=sharing"",""ระยอง!J195"")"),15)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IFERROR(__xludf.DUMMYFUNCTION("IMPORTRANGE(""https://docs.google.com/spreadsheets/d/1SX6NBoVAgQJ6U1MVXOaj8PK2l7WJ3RER9xtqwdhxkhw/edit?usp=sharing"",""ระยอง!J196"")"),0)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IFERROR(__xludf.DUMMYFUNCTION("IMPORTRANGE(""https://docs.google.com/spreadsheets/d/1SX6NBoVAgQJ6U1MVXOaj8PK2l7WJ3RER9xtqwdhxkhw/edit?usp=sharing"",""ระยอง!J197"")"),0)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IFERROR(__xludf.DUMMYFUNCTION("IMPORTRANGE(""https://docs.google.com/spreadsheets/d/1SX6NBoVAgQJ6U1MVXOaj8PK2l7WJ3RER9xtqwdhxkhw/edit?usp=sharing"",""ระยอง!I199"")"),0)</f>
        <v>0</v>
      </c>
      <c r="J289" s="316">
        <f ca="1">IFERROR(__xludf.DUMMYFUNCTION("IMPORTRANGE(""https://docs.google.com/spreadsheets/d/1SX6NBoVAgQJ6U1MVXOaj8PK2l7WJ3RER9xtqwdhxkhw/edit?usp=sharing"",""ระยอง!J199"")"),0)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IFERROR(__xludf.DUMMYFUNCTION("IMPORTRANGE(""https://docs.google.com/spreadsheets/d/1Yj_ptqi66GCucihVvJfMjLAmec39IyEx_6qawtMGysU/edit?usp=sharing"",""สบก!CT72"")"),0)</f>
        <v>0</v>
      </c>
      <c r="N294" s="169">
        <f ca="1">IFERROR(__xludf.DUMMYFUNCTION("IMPORTRANGE(""https://docs.google.com/spreadsheets/d/1Yj_ptqi66GCucihVvJfMjLAmec39IyEx_6qawtMGysU/edit?usp=sharing"",""สบก!CU72"")"),0)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IFERROR(__xludf.DUMMYFUNCTION("IMPORTRANGE(""https://docs.google.com/spreadsheets/d/1Yj_ptqi66GCucihVvJfMjLAmec39IyEx_6qawtMGysU/edit?usp=sharing"",""สบก!CP72"")"),0)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IFERROR(__xludf.DUMMYFUNCTION("IMPORTRANGE(""https://docs.google.com/spreadsheets/d/1Yj_ptqi66GCucihVvJfMjLAmec39IyEx_6qawtMGysU/edit?usp=sharing"",""สบก!CQ72"")"),0)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IFERROR(__xludf.DUMMYFUNCTION("IMPORTRANGE(""https://docs.google.com/spreadsheets/d/1Yj_ptqi66GCucihVvJfMjLAmec39IyEx_6qawtMGysU/edit?usp=sharing"",""สบก!CR72"")"),0)</f>
        <v>0</v>
      </c>
      <c r="M298" s="49"/>
      <c r="N298" s="49">
        <f ca="1">IFERROR(__xludf.DUMMYFUNCTION("IMPORTRANGE(""https://docs.google.com/spreadsheets/d/1Yj_ptqi66GCucihVvJfMjLAmec39IyEx_6qawtMGysU/edit?usp=sharing"",""สบก!CV72"")"),0)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IFERROR(__xludf.DUMMYFUNCTION("IMPORTRANGE(""https://docs.google.com/spreadsheets/d/1SX6NBoVAgQJ6U1MVXOaj8PK2l7WJ3RER9xtqwdhxkhw/edit?usp=sharing"",""ระยอง!J205"")"),0)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IFERROR(__xludf.DUMMYFUNCTION("IMPORTRANGE(""https://docs.google.com/spreadsheets/d/1SX6NBoVAgQJ6U1MVXOaj8PK2l7WJ3RER9xtqwdhxkhw/edit?usp=sharing"",""ระยอง!J206"")"),0)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IFERROR(__xludf.DUMMYFUNCTION("IMPORTRANGE(""https://docs.google.com/spreadsheets/d/1SX6NBoVAgQJ6U1MVXOaj8PK2l7WJ3RER9xtqwdhxkhw/edit?usp=sharing"",""ระยอง!J207"")"),0)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IFERROR(__xludf.DUMMYFUNCTION("IMPORTRANGE(""https://docs.google.com/spreadsheets/d/1SX6NBoVAgQJ6U1MVXOaj8PK2l7WJ3RER9xtqwdhxkhw/edit?usp=sharing"",""ระยอง!J208"")"),0)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IFERROR(__xludf.DUMMYFUNCTION("IMPORTRANGE(""https://docs.google.com/spreadsheets/d/1SX6NBoVAgQJ6U1MVXOaj8PK2l7WJ3RER9xtqwdhxkhw/edit?usp=sharing"",""ระยอง!I209"")"),0)</f>
        <v>0</v>
      </c>
      <c r="J304" s="204">
        <f ca="1">IFERROR(__xludf.DUMMYFUNCTION("IMPORTRANGE(""https://docs.google.com/spreadsheets/d/1SX6NBoVAgQJ6U1MVXOaj8PK2l7WJ3RER9xtqwdhxkhw/edit?usp=sharing"",""ระยอง!J209"")"),0)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IFERROR(__xludf.DUMMYFUNCTION("IMPORTRANGE(""https://docs.google.com/spreadsheets/d/1SX6NBoVAgQJ6U1MVXOaj8PK2l7WJ3RER9xtqwdhxkhw/edit?usp=sharing"",""ระยอง!I211"")"),0)</f>
        <v>0</v>
      </c>
      <c r="J306" s="204">
        <f ca="1">IFERROR(__xludf.DUMMYFUNCTION("IMPORTRANGE(""https://docs.google.com/spreadsheets/d/1SX6NBoVAgQJ6U1MVXOaj8PK2l7WJ3RER9xtqwdhxkhw/edit?usp=sharing"",""ระยอง!J211"")"),0)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IFERROR(__xludf.DUMMYFUNCTION("IMPORTRANGE(""https://docs.google.com/spreadsheets/d/1SX6NBoVAgQJ6U1MVXOaj8PK2l7WJ3RER9xtqwdhxkhw/edit?usp=sharing"",""ระยอง!J212"")"),0)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IFERROR(__xludf.DUMMYFUNCTION("IMPORTRANGE(""https://docs.google.com/spreadsheets/d/1SX6NBoVAgQJ6U1MVXOaj8PK2l7WJ3RER9xtqwdhxkhw/edit?usp=sharing"",""ระยอง!J213"")"),0)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IFERROR(__xludf.DUMMYFUNCTION("IMPORTRANGE(""https://docs.google.com/spreadsheets/d/1SX6NBoVAgQJ6U1MVXOaj8PK2l7WJ3RER9xtqwdhxkhw/edit?usp=sharing"",""ระยอง!I214"")"),0)</f>
        <v>0</v>
      </c>
      <c r="J309" s="333">
        <f ca="1">IFERROR(__xludf.DUMMYFUNCTION("IMPORTRANGE(""https://docs.google.com/spreadsheets/d/1SX6NBoVAgQJ6U1MVXOaj8PK2l7WJ3RER9xtqwdhxkhw/edit?usp=sharing"",""ระยอง!J214"")"),0)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IFERROR(__xludf.DUMMYFUNCTION("IMPORTRANGE(""https://docs.google.com/spreadsheets/d/1Yj_ptqi66GCucihVvJfMjLAmec39IyEx_6qawtMGysU/edit?usp=sharing"",""สบก!DC72"")"),0)</f>
        <v>0</v>
      </c>
      <c r="N314" s="169">
        <f ca="1">IFERROR(__xludf.DUMMYFUNCTION("IMPORTRANGE(""https://docs.google.com/spreadsheets/d/1Yj_ptqi66GCucihVvJfMjLAmec39IyEx_6qawtMGysU/edit?usp=sharing"",""สบก!DD72"")"),0)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IFERROR(__xludf.DUMMYFUNCTION("IMPORTRANGE(""https://docs.google.com/spreadsheets/d/1Yj_ptqi66GCucihVvJfMjLAmec39IyEx_6qawtMGysU/edit?usp=sharing"",""สบก!CY72"")"),0)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IFERROR(__xludf.DUMMYFUNCTION("IMPORTRANGE(""https://docs.google.com/spreadsheets/d/1Yj_ptqi66GCucihVvJfMjLAmec39IyEx_6qawtMGysU/edit?usp=sharing"",""สบก!CZ72"")"),0)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IFERROR(__xludf.DUMMYFUNCTION("IMPORTRANGE(""https://docs.google.com/spreadsheets/d/1Yj_ptqi66GCucihVvJfMjLAmec39IyEx_6qawtMGysU/edit?usp=sharing"",""สบก!DA72"")"),0)</f>
        <v>0</v>
      </c>
      <c r="M318" s="49"/>
      <c r="N318" s="49">
        <f ca="1">IFERROR(__xludf.DUMMYFUNCTION("IMPORTRANGE(""https://docs.google.com/spreadsheets/d/1Yj_ptqi66GCucihVvJfMjLAmec39IyEx_6qawtMGysU/edit?usp=sharing"",""สบก!DE72"")"),0)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IFERROR(__xludf.DUMMYFUNCTION("IMPORTRANGE(""https://docs.google.com/spreadsheets/d/1SX6NBoVAgQJ6U1MVXOaj8PK2l7WJ3RER9xtqwdhxkhw/edit?usp=sharing"",""ระยอง!J220"")"),0)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IFERROR(__xludf.DUMMYFUNCTION("IMPORTRANGE(""https://docs.google.com/spreadsheets/d/1SX6NBoVAgQJ6U1MVXOaj8PK2l7WJ3RER9xtqwdhxkhw/edit?usp=sharing"",""ระยอง!J221"")"),0)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IFERROR(__xludf.DUMMYFUNCTION("IMPORTRANGE(""https://docs.google.com/spreadsheets/d/1SX6NBoVAgQJ6U1MVXOaj8PK2l7WJ3RER9xtqwdhxkhw/edit?usp=sharing"",""ระยอง!J222"")"),0)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IFERROR(__xludf.DUMMYFUNCTION("IMPORTRANGE(""https://docs.google.com/spreadsheets/d/1SX6NBoVAgQJ6U1MVXOaj8PK2l7WJ3RER9xtqwdhxkhw/edit?usp=sharing"",""ระยอง!J223"")"),0)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IFERROR(__xludf.DUMMYFUNCTION("IMPORTRANGE(""https://docs.google.com/spreadsheets/d/1SX6NBoVAgQJ6U1MVXOaj8PK2l7WJ3RER9xtqwdhxkhw/edit?usp=sharing"",""ระยอง!I224"")"),0)</f>
        <v>0</v>
      </c>
      <c r="J324" s="204">
        <f ca="1">IFERROR(__xludf.DUMMYFUNCTION("IMPORTRANGE(""https://docs.google.com/spreadsheets/d/1SX6NBoVAgQJ6U1MVXOaj8PK2l7WJ3RER9xtqwdhxkhw/edit?usp=sharing"",""ระยอง!J224"")"),0)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IFERROR(__xludf.DUMMYFUNCTION("IMPORTRANGE(""https://docs.google.com/spreadsheets/d/1SX6NBoVAgQJ6U1MVXOaj8PK2l7WJ3RER9xtqwdhxkhw/edit?usp=sharing"",""ระยอง!J225"")"),0)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IFERROR(__xludf.DUMMYFUNCTION("IMPORTRANGE(""https://docs.google.com/spreadsheets/d/1SX6NBoVAgQJ6U1MVXOaj8PK2l7WJ3RER9xtqwdhxkhw/edit?usp=sharing"",""ระยอง!J226"")"),0)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IFERROR(__xludf.DUMMYFUNCTION("IMPORTRANGE(""https://docs.google.com/spreadsheets/d/1SX6NBoVAgQJ6U1MVXOaj8PK2l7WJ3RER9xtqwdhxkhw/edit?usp=sharing"",""ระยอง!I228"")"),62)</f>
        <v>62</v>
      </c>
      <c r="J328" s="339">
        <f ca="1">IFERROR(__xludf.DUMMYFUNCTION("IMPORTRANGE(""https://docs.google.com/spreadsheets/d/1SX6NBoVAgQJ6U1MVXOaj8PK2l7WJ3RER9xtqwdhxkhw/edit?usp=sharing"",""ระยอง!J228"")"),31)</f>
        <v>31</v>
      </c>
      <c r="K328" s="317">
        <f ca="1">IF(I328&gt;0,J328*100/I328,0)</f>
        <v>50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786020</v>
      </c>
      <c r="M329" s="152">
        <f t="shared" ca="1" si="98"/>
        <v>608910</v>
      </c>
      <c r="N329" s="152">
        <f t="shared" ca="1" si="98"/>
        <v>447296.43</v>
      </c>
      <c r="O329" s="151">
        <f t="shared" ref="O329:O331" ca="1" si="99">IF(L329&gt;0,N329*100/L329,0)</f>
        <v>56.906494745680774</v>
      </c>
      <c r="P329" s="151">
        <f t="shared" ref="P329:P331" ca="1" si="100">IF(M329&gt;0,N329*100/M329,0)</f>
        <v>73.458545597871606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786020</v>
      </c>
      <c r="M331" s="157">
        <f t="shared" ca="1" si="102"/>
        <v>608910</v>
      </c>
      <c r="N331" s="157">
        <f t="shared" ca="1" si="102"/>
        <v>447296.43</v>
      </c>
      <c r="O331" s="156">
        <f t="shared" ca="1" si="99"/>
        <v>56.906494745680774</v>
      </c>
      <c r="P331" s="156">
        <f t="shared" ca="1" si="100"/>
        <v>73.458545597871606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639020</v>
      </c>
      <c r="M333" s="168">
        <f ca="1">IFERROR(__xludf.DUMMYFUNCTION("IMPORTRANGE(""https://docs.google.com/spreadsheets/d/1Yj_ptqi66GCucihVvJfMjLAmec39IyEx_6qawtMGysU/edit?usp=sharing"",""สบก!DL72"")"),461910)</f>
        <v>461910</v>
      </c>
      <c r="N333" s="169">
        <f ca="1">IFERROR(__xludf.DUMMYFUNCTION("IMPORTRANGE(""https://docs.google.com/spreadsheets/d/1Yj_ptqi66GCucihVvJfMjLAmec39IyEx_6qawtMGysU/edit?usp=sharing"",""สบก!DM72"")"),300296.43)</f>
        <v>300296.43</v>
      </c>
      <c r="O333" s="169">
        <f ca="1">IF(L333&gt;0,N333*100/L333,0)</f>
        <v>46.993275640825011</v>
      </c>
      <c r="P333" s="169">
        <f ca="1">IF(M333&gt;0,N333*100/M333,0)</f>
        <v>65.011891926998771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IFERROR(__xludf.DUMMYFUNCTION("IMPORTRANGE(""https://docs.google.com/spreadsheets/d/1Yj_ptqi66GCucihVvJfMjLAmec39IyEx_6qawtMGysU/edit?usp=sharing"",""สบก!DH72"")"),381200)</f>
        <v>381200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IFERROR(__xludf.DUMMYFUNCTION("IMPORTRANGE(""https://docs.google.com/spreadsheets/d/1Yj_ptqi66GCucihVvJfMjLAmec39IyEx_6qawtMGysU/edit?usp=sharing"",""สบก!DI72"")"),257820)</f>
        <v>257820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IFERROR(__xludf.DUMMYFUNCTION("IMPORTRANGE(""https://docs.google.com/spreadsheets/d/1Yj_ptqi66GCucihVvJfMjLAmec39IyEx_6qawtMGysU/edit?usp=sharing"",""สบก!DJ72"")"),147000)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IFERROR(__xludf.DUMMYFUNCTION("IMPORTRANGE(""https://docs.google.com/spreadsheets/d/1Yj_ptqi66GCucihVvJfMjLAmec39IyEx_6qawtMGysU/edit?usp=sharing"",""สบก!DN72"")"),147000)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IFERROR(__xludf.DUMMYFUNCTION("IMPORTRANGE(""https://docs.google.com/spreadsheets/d/1SX6NBoVAgQJ6U1MVXOaj8PK2l7WJ3RER9xtqwdhxkhw/edit?usp=sharing"",""ระยอง!I234"")"),0)</f>
        <v>0</v>
      </c>
      <c r="J339" s="188">
        <f ca="1">IFERROR(__xludf.DUMMYFUNCTION("IMPORTRANGE(""https://docs.google.com/spreadsheets/d/1SX6NBoVAgQJ6U1MVXOaj8PK2l7WJ3RER9xtqwdhxkhw/edit?usp=sharing"",""ระยอง!J234"")"),63)</f>
        <v>63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IFERROR(__xludf.DUMMYFUNCTION("IMPORTRANGE(""https://docs.google.com/spreadsheets/d/1SX6NBoVAgQJ6U1MVXOaj8PK2l7WJ3RER9xtqwdhxkhw/edit?usp=sharing"",""ระยอง!I235"")"),775)</f>
        <v>775</v>
      </c>
      <c r="J340" s="188">
        <f ca="1">IFERROR(__xludf.DUMMYFUNCTION("IMPORTRANGE(""https://docs.google.com/spreadsheets/d/1SX6NBoVAgQJ6U1MVXOaj8PK2l7WJ3RER9xtqwdhxkhw/edit?usp=sharing"",""ระยอง!J235"")"),283.039999999999)</f>
        <v>283.039999999999</v>
      </c>
      <c r="K340" s="342">
        <f t="shared" ca="1" si="103"/>
        <v>36.521290322580512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IFERROR(__xludf.DUMMYFUNCTION("IMPORTRANGE(""https://docs.google.com/spreadsheets/d/1SX6NBoVAgQJ6U1MVXOaj8PK2l7WJ3RER9xtqwdhxkhw/edit?usp=sharing"",""ระยอง!I236"")"),62)</f>
        <v>62</v>
      </c>
      <c r="J341" s="188">
        <f ca="1">IFERROR(__xludf.DUMMYFUNCTION("IMPORTRANGE(""https://docs.google.com/spreadsheets/d/1SX6NBoVAgQJ6U1MVXOaj8PK2l7WJ3RER9xtqwdhxkhw/edit?usp=sharing"",""ระยอง!J236"")"),34)</f>
        <v>34</v>
      </c>
      <c r="K341" s="342">
        <f t="shared" ca="1" si="103"/>
        <v>54.838709677419352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IFERROR(__xludf.DUMMYFUNCTION("IMPORTRANGE(""https://docs.google.com/spreadsheets/d/1SX6NBoVAgQJ6U1MVXOaj8PK2l7WJ3RER9xtqwdhxkhw/edit?usp=sharing"",""ระยอง!I237"")"),0)</f>
        <v>0</v>
      </c>
      <c r="J342" s="188">
        <f ca="1">IFERROR(__xludf.DUMMYFUNCTION("IMPORTRANGE(""https://docs.google.com/spreadsheets/d/1SX6NBoVAgQJ6U1MVXOaj8PK2l7WJ3RER9xtqwdhxkhw/edit?usp=sharing"",""ระยอง!J237"")"),328.83)</f>
        <v>328.83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IFERROR(__xludf.DUMMYFUNCTION("IMPORTRANGE(""https://docs.google.com/spreadsheets/d/1SX6NBoVAgQJ6U1MVXOaj8PK2l7WJ3RER9xtqwdhxkhw/edit?usp=sharing"",""ระยอง!I238"")"),62)</f>
        <v>62</v>
      </c>
      <c r="J343" s="188">
        <f ca="1">IFERROR(__xludf.DUMMYFUNCTION("IMPORTRANGE(""https://docs.google.com/spreadsheets/d/1SX6NBoVAgQJ6U1MVXOaj8PK2l7WJ3RER9xtqwdhxkhw/edit?usp=sharing"",""ระยอง!J238"")"),0)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IFERROR(__xludf.DUMMYFUNCTION("IMPORTRANGE(""https://docs.google.com/spreadsheets/d/1SX6NBoVAgQJ6U1MVXOaj8PK2l7WJ3RER9xtqwdhxkhw/edit?usp=sharing"",""ระยอง!I239"")"),0)</f>
        <v>0</v>
      </c>
      <c r="J344" s="188">
        <f ca="1">IFERROR(__xludf.DUMMYFUNCTION("IMPORTRANGE(""https://docs.google.com/spreadsheets/d/1SX6NBoVAgQJ6U1MVXOaj8PK2l7WJ3RER9xtqwdhxkhw/edit?usp=sharing"",""ระยอง!J239"")"),0)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IFERROR(__xludf.DUMMYFUNCTION("IMPORTRANGE(""https://docs.google.com/spreadsheets/d/1SX6NBoVAgQJ6U1MVXOaj8PK2l7WJ3RER9xtqwdhxkhw/edit?usp=sharing"",""ระยอง!I240"")"),62)</f>
        <v>62</v>
      </c>
      <c r="J345" s="188">
        <f ca="1">IFERROR(__xludf.DUMMYFUNCTION("IMPORTRANGE(""https://docs.google.com/spreadsheets/d/1SX6NBoVAgQJ6U1MVXOaj8PK2l7WJ3RER9xtqwdhxkhw/edit?usp=sharing"",""ระยอง!J240"")"),31)</f>
        <v>31</v>
      </c>
      <c r="K345" s="342">
        <f t="shared" ca="1" si="103"/>
        <v>50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IFERROR(__xludf.DUMMYFUNCTION("IMPORTRANGE(""https://docs.google.com/spreadsheets/d/1SX6NBoVAgQJ6U1MVXOaj8PK2l7WJ3RER9xtqwdhxkhw/edit?usp=sharing"",""ระยอง!I241"")"),0)</f>
        <v>0</v>
      </c>
      <c r="J346" s="188">
        <f ca="1">IFERROR(__xludf.DUMMYFUNCTION("IMPORTRANGE(""https://docs.google.com/spreadsheets/d/1SX6NBoVAgQJ6U1MVXOaj8PK2l7WJ3RER9xtqwdhxkhw/edit?usp=sharing"",""ระยอง!J241"")"),280.03)</f>
        <v>280.02999999999997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IFERROR(__xludf.DUMMYFUNCTION("IMPORTRANGE(""https://docs.google.com/spreadsheets/d/1SX6NBoVAgQJ6U1MVXOaj8PK2l7WJ3RER9xtqwdhxkhw/edit?usp=sharing"",""ระยอง!L242"")"),1090849)</f>
        <v>1090849</v>
      </c>
      <c r="M347" s="358"/>
      <c r="N347" s="358">
        <f ca="1">IFERROR(__xludf.DUMMYFUNCTION("IMPORTRANGE(""https://docs.google.com/spreadsheets/d/1SX6NBoVAgQJ6U1MVXOaj8PK2l7WJ3RER9xtqwdhxkhw/edit?usp=sharing"",""ระยอง!M242"")"),381178)</f>
        <v>381178</v>
      </c>
      <c r="O347" s="358">
        <f ca="1">+IF(L347&gt;0,N347*100/L347,0)</f>
        <v>34.943241456883584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IFERROR(__xludf.DUMMYFUNCTION("IMPORTRANGE(""https://docs.google.com/spreadsheets/d/1SX6NBoVAgQJ6U1MVXOaj8PK2l7WJ3RER9xtqwdhxkhw/edit?usp=sharing"",""ระยอง!I244"")"),80)</f>
        <v>80</v>
      </c>
      <c r="J349" s="371">
        <f ca="1">IFERROR(__xludf.DUMMYFUNCTION("IMPORTRANGE(""https://docs.google.com/spreadsheets/d/1SX6NBoVAgQJ6U1MVXOaj8PK2l7WJ3RER9xtqwdhxkhw/edit?usp=sharing"",""ระยอง!J244"")"),0)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IFERROR(__xludf.DUMMYFUNCTION("IMPORTRANGE(""https://docs.google.com/spreadsheets/d/1SX6NBoVAgQJ6U1MVXOaj8PK2l7WJ3RER9xtqwdhxkhw/edit?usp=sharing"",""ระยอง!L244"")"),280560)</f>
        <v>280560</v>
      </c>
      <c r="M349" s="373"/>
      <c r="N349" s="373">
        <f ca="1">IFERROR(__xludf.DUMMYFUNCTION("IMPORTRANGE(""https://docs.google.com/spreadsheets/d/1SX6NBoVAgQJ6U1MVXOaj8PK2l7WJ3RER9xtqwdhxkhw/edit?usp=sharing"",""ระยอง!M244"")"),69986)</f>
        <v>69986</v>
      </c>
      <c r="O349" s="373">
        <f ca="1">+IF(L349&gt;0,N349*100/L349,0)</f>
        <v>24.945109780439122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IFERROR(__xludf.DUMMYFUNCTION("IMPORTRANGE(""https://docs.google.com/spreadsheets/d/1SX6NBoVAgQJ6U1MVXOaj8PK2l7WJ3RER9xtqwdhxkhw/edit?usp=sharing"",""ระยอง!I245"")"),25)</f>
        <v>25</v>
      </c>
      <c r="J350" s="371">
        <f ca="1">IFERROR(__xludf.DUMMYFUNCTION("IMPORTRANGE(""https://docs.google.com/spreadsheets/d/1SX6NBoVAgQJ6U1MVXOaj8PK2l7WJ3RER9xtqwdhxkhw/edit?usp=sharing"",""ระยอง!J245"")"),25)</f>
        <v>25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IFERROR(__xludf.DUMMYFUNCTION("IMPORTRANGE(""https://docs.google.com/spreadsheets/d/1SX6NBoVAgQJ6U1MVXOaj8PK2l7WJ3RER9xtqwdhxkhw/edit?usp=sharing"",""ระยอง!L246"")"),0)</f>
        <v>0</v>
      </c>
      <c r="M351" s="164"/>
      <c r="N351" s="164">
        <f ca="1">IFERROR(__xludf.DUMMYFUNCTION("IMPORTRANGE(""https://docs.google.com/spreadsheets/d/1SX6NBoVAgQJ6U1MVXOaj8PK2l7WJ3RER9xtqwdhxkhw/edit?usp=sharing"",""ระยอง!M246"")"),0)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IFERROR(__xludf.DUMMYFUNCTION("IMPORTRANGE(""https://docs.google.com/spreadsheets/d/1SX6NBoVAgQJ6U1MVXOaj8PK2l7WJ3RER9xtqwdhxkhw/edit?usp=sharing"",""ระยอง!L247"")"),280560)</f>
        <v>280560</v>
      </c>
      <c r="M352" s="165"/>
      <c r="N352" s="164">
        <f ca="1">IFERROR(__xludf.DUMMYFUNCTION("IMPORTRANGE(""https://docs.google.com/spreadsheets/d/1SX6NBoVAgQJ6U1MVXOaj8PK2l7WJ3RER9xtqwdhxkhw/edit?usp=sharing"",""ระยอง!M247"")"),69986)</f>
        <v>69986</v>
      </c>
      <c r="O352" s="165">
        <f t="shared" ca="1" si="105"/>
        <v>24.945109780439122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IFERROR(__xludf.DUMMYFUNCTION("IMPORTRANGE(""https://docs.google.com/spreadsheets/d/1SX6NBoVAgQJ6U1MVXOaj8PK2l7WJ3RER9xtqwdhxkhw/edit?usp=sharing"",""ระยอง!L248"")"),0)</f>
        <v>0</v>
      </c>
      <c r="M353" s="169"/>
      <c r="N353" s="169">
        <f ca="1">IFERROR(__xludf.DUMMYFUNCTION("IMPORTRANGE(""https://docs.google.com/spreadsheets/d/1SX6NBoVAgQJ6U1MVXOaj8PK2l7WJ3RER9xtqwdhxkhw/edit?usp=sharing"",""ระยอง!M248"")"),0)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IFERROR(__xludf.DUMMYFUNCTION("IMPORTRANGE(""https://docs.google.com/spreadsheets/d/1SX6NBoVAgQJ6U1MVXOaj8PK2l7WJ3RER9xtqwdhxkhw/edit?usp=sharing"",""ระยอง!L249"")"),280560)</f>
        <v>280560</v>
      </c>
      <c r="M354" s="169"/>
      <c r="N354" s="168">
        <f ca="1">IFERROR(__xludf.DUMMYFUNCTION("IMPORTRANGE(""https://docs.google.com/spreadsheets/d/1SX6NBoVAgQJ6U1MVXOaj8PK2l7WJ3RER9xtqwdhxkhw/edit?usp=sharing"",""ระยอง!M249"")"),69986)</f>
        <v>69986</v>
      </c>
      <c r="O354" s="169">
        <f t="shared" ca="1" si="105"/>
        <v>24.945109780439122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IFERROR(__xludf.DUMMYFUNCTION("IMPORTRANGE(""https://docs.google.com/spreadsheets/d/1SX6NBoVAgQJ6U1MVXOaj8PK2l7WJ3RER9xtqwdhxkhw/edit?usp=sharing"",""ระยอง!M250"")"),26720)</f>
        <v>26720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IFERROR(__xludf.DUMMYFUNCTION("IMPORTRANGE(""https://docs.google.com/spreadsheets/d/1SX6NBoVAgQJ6U1MVXOaj8PK2l7WJ3RER9xtqwdhxkhw/edit?usp=sharing"",""ระยอง!M251"")"),0)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IFERROR(__xludf.DUMMYFUNCTION("IMPORTRANGE(""https://docs.google.com/spreadsheets/d/1SX6NBoVAgQJ6U1MVXOaj8PK2l7WJ3RER9xtqwdhxkhw/edit?usp=sharing"",""ระยอง!M252"")"),43266)</f>
        <v>43266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IFERROR(__xludf.DUMMYFUNCTION("IMPORTRANGE(""https://docs.google.com/spreadsheets/d/1SX6NBoVAgQJ6U1MVXOaj8PK2l7WJ3RER9xtqwdhxkhw/edit?usp=sharing"",""ระยอง!M253"")"),0)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IFERROR(__xludf.DUMMYFUNCTION("IMPORTRANGE(""https://docs.google.com/spreadsheets/d/1SX6NBoVAgQJ6U1MVXOaj8PK2l7WJ3RER9xtqwdhxkhw/edit?usp=sharing"",""ระยอง!J255"")"),0)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IFERROR(__xludf.DUMMYFUNCTION("IMPORTRANGE(""https://docs.google.com/spreadsheets/d/1SX6NBoVAgQJ6U1MVXOaj8PK2l7WJ3RER9xtqwdhxkhw/edit?usp=sharing"",""ระยอง!J256"")"),1)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IFERROR(__xludf.DUMMYFUNCTION("IMPORTRANGE(""https://docs.google.com/spreadsheets/d/1SX6NBoVAgQJ6U1MVXOaj8PK2l7WJ3RER9xtqwdhxkhw/edit?usp=sharing"",""ระยอง!J257"")"),1)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IFERROR(__xludf.DUMMYFUNCTION("IMPORTRANGE(""https://docs.google.com/spreadsheets/d/1SX6NBoVAgQJ6U1MVXOaj8PK2l7WJ3RER9xtqwdhxkhw/edit?usp=sharing"",""ระยอง!J258"")"),1)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IFERROR(__xludf.DUMMYFUNCTION("IMPORTRANGE(""https://docs.google.com/spreadsheets/d/1SX6NBoVAgQJ6U1MVXOaj8PK2l7WJ3RER9xtqwdhxkhw/edit?usp=sharing"",""ระยอง!J166"")"),0)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IFERROR(__xludf.DUMMYFUNCTION("IMPORTRANGE(""https://docs.google.com/spreadsheets/d/1SX6NBoVAgQJ6U1MVXOaj8PK2l7WJ3RER9xtqwdhxkhw/edit?usp=sharing"",""ระยอง!J166"")"),0)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IFERROR(__xludf.DUMMYFUNCTION("IMPORTRANGE(""https://docs.google.com/spreadsheets/d/1SX6NBoVAgQJ6U1MVXOaj8PK2l7WJ3RER9xtqwdhxkhw/edit?usp=sharing"",""ระยอง!J166"")"),0)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IFERROR(__xludf.DUMMYFUNCTION("IMPORTRANGE(""https://docs.google.com/spreadsheets/d/1SX6NBoVAgQJ6U1MVXOaj8PK2l7WJ3RER9xtqwdhxkhw/edit?usp=sharing"",""ระยอง!J166"")"),0)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IFERROR(__xludf.DUMMYFUNCTION("IMPORTRANGE(""https://docs.google.com/spreadsheets/d/1SX6NBoVAgQJ6U1MVXOaj8PK2l7WJ3RER9xtqwdhxkhw/edit?usp=sharing"",""ระยอง!I263"")"),25)</f>
        <v>25</v>
      </c>
      <c r="J368" s="188">
        <f ca="1">IFERROR(__xludf.DUMMYFUNCTION("IMPORTRANGE(""https://docs.google.com/spreadsheets/d/1SX6NBoVAgQJ6U1MVXOaj8PK2l7WJ3RER9xtqwdhxkhw/edit?usp=sharing"",""ระยอง!J263"")"),25)</f>
        <v>25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IFERROR(__xludf.DUMMYFUNCTION("IMPORTRANGE(""https://docs.google.com/spreadsheets/d/1SX6NBoVAgQJ6U1MVXOaj8PK2l7WJ3RER9xtqwdhxkhw/edit?usp=sharing"",""ระยอง!I164"")"),0)</f>
        <v>0</v>
      </c>
      <c r="J369" s="204">
        <f ca="1">IFERROR(__xludf.DUMMYFUNCTION("IMPORTRANGE(""https://docs.google.com/spreadsheets/d/1SX6NBoVAgQJ6U1MVXOaj8PK2l7WJ3RER9xtqwdhxkhw/edit?usp=sharing"",""ระยอง!J164"")"),0)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IFERROR(__xludf.DUMMYFUNCTION("IMPORTRANGE(""https://docs.google.com/spreadsheets/d/1SX6NBoVAgQJ6U1MVXOaj8PK2l7WJ3RER9xtqwdhxkhw/edit?usp=sharing"",""ระยอง!I265"")"),25)</f>
        <v>25</v>
      </c>
      <c r="J370" s="204">
        <f ca="1">IFERROR(__xludf.DUMMYFUNCTION("IMPORTRANGE(""https://docs.google.com/spreadsheets/d/1SX6NBoVAgQJ6U1MVXOaj8PK2l7WJ3RER9xtqwdhxkhw/edit?usp=sharing"",""ระยอง!J265"")"),25)</f>
        <v>25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IFERROR(__xludf.DUMMYFUNCTION("IMPORTRANGE(""https://docs.google.com/spreadsheets/d/1SX6NBoVAgQJ6U1MVXOaj8PK2l7WJ3RER9xtqwdhxkhw/edit?usp=sharing"",""ระยอง!I164"")"),0)</f>
        <v>0</v>
      </c>
      <c r="J371" s="189">
        <f ca="1">IFERROR(__xludf.DUMMYFUNCTION("IMPORTRANGE(""https://docs.google.com/spreadsheets/d/1SX6NBoVAgQJ6U1MVXOaj8PK2l7WJ3RER9xtqwdhxkhw/edit?usp=sharing"",""ระยอง!J164"")"),0)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IFERROR(__xludf.DUMMYFUNCTION("IMPORTRANGE(""https://docs.google.com/spreadsheets/d/1SX6NBoVAgQJ6U1MVXOaj8PK2l7WJ3RER9xtqwdhxkhw/edit?usp=sharing"",""ระยอง!I267"")"),25)</f>
        <v>25</v>
      </c>
      <c r="J372" s="189">
        <f ca="1">IFERROR(__xludf.DUMMYFUNCTION("IMPORTRANGE(""https://docs.google.com/spreadsheets/d/1SX6NBoVAgQJ6U1MVXOaj8PK2l7WJ3RER9xtqwdhxkhw/edit?usp=sharing"",""ระยอง!J267"")"),25)</f>
        <v>25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IFERROR(__xludf.DUMMYFUNCTION("IMPORTRANGE(""https://docs.google.com/spreadsheets/d/1SX6NBoVAgQJ6U1MVXOaj8PK2l7WJ3RER9xtqwdhxkhw/edit?usp=sharing"",""ระยอง!I164"")"),0)</f>
        <v>0</v>
      </c>
      <c r="J373" s="204">
        <f ca="1">IFERROR(__xludf.DUMMYFUNCTION("IMPORTRANGE(""https://docs.google.com/spreadsheets/d/1SX6NBoVAgQJ6U1MVXOaj8PK2l7WJ3RER9xtqwdhxkhw/edit?usp=sharing"",""ระยอง!J164"")"),0)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IFERROR(__xludf.DUMMYFUNCTION("IMPORTRANGE(""https://docs.google.com/spreadsheets/d/1SX6NBoVAgQJ6U1MVXOaj8PK2l7WJ3RER9xtqwdhxkhw/edit?usp=sharing"",""ระยอง!I164"")"),0)</f>
        <v>0</v>
      </c>
      <c r="J374" s="188">
        <f ca="1">IFERROR(__xludf.DUMMYFUNCTION("IMPORTRANGE(""https://docs.google.com/spreadsheets/d/1SX6NBoVAgQJ6U1MVXOaj8PK2l7WJ3RER9xtqwdhxkhw/edit?usp=sharing"",""ระยอง!J164"")"),0)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IFERROR(__xludf.DUMMYFUNCTION("IMPORTRANGE(""https://docs.google.com/spreadsheets/d/1SX6NBoVAgQJ6U1MVXOaj8PK2l7WJ3RER9xtqwdhxkhw/edit?usp=sharing"",""ระยอง!I270"")"),80)</f>
        <v>80</v>
      </c>
      <c r="J375" s="188">
        <f ca="1">IFERROR(__xludf.DUMMYFUNCTION("IMPORTRANGE(""https://docs.google.com/spreadsheets/d/1SX6NBoVAgQJ6U1MVXOaj8PK2l7WJ3RER9xtqwdhxkhw/edit?usp=sharing"",""ระยอง!J270"")"),0)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IFERROR(__xludf.DUMMYFUNCTION("IMPORTRANGE(""https://docs.google.com/spreadsheets/d/1SX6NBoVAgQJ6U1MVXOaj8PK2l7WJ3RER9xtqwdhxkhw/edit?usp=sharing"",""ระยอง!I271"")"),15)</f>
        <v>15</v>
      </c>
      <c r="J376" s="189">
        <f ca="1">IFERROR(__xludf.DUMMYFUNCTION("IMPORTRANGE(""https://docs.google.com/spreadsheets/d/1SX6NBoVAgQJ6U1MVXOaj8PK2l7WJ3RER9xtqwdhxkhw/edit?usp=sharing"",""ระยอง!J271"")"),0)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IFERROR(__xludf.DUMMYFUNCTION("IMPORTRANGE(""https://docs.google.com/spreadsheets/d/1SX6NBoVAgQJ6U1MVXOaj8PK2l7WJ3RER9xtqwdhxkhw/edit?usp=sharing"",""ระยอง!I272"")"),65)</f>
        <v>65</v>
      </c>
      <c r="J377" s="204">
        <f ca="1">IFERROR(__xludf.DUMMYFUNCTION("IMPORTRANGE(""https://docs.google.com/spreadsheets/d/1SX6NBoVAgQJ6U1MVXOaj8PK2l7WJ3RER9xtqwdhxkhw/edit?usp=sharing"",""ระยอง!J272"")"),0)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IFERROR(__xludf.DUMMYFUNCTION("IMPORTRANGE(""https://docs.google.com/spreadsheets/d/1SX6NBoVAgQJ6U1MVXOaj8PK2l7WJ3RER9xtqwdhxkhw/edit?usp=sharing"",""ระยอง!J273"")"),0)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IFERROR(__xludf.DUMMYFUNCTION("IMPORTRANGE(""https://docs.google.com/spreadsheets/d/1SX6NBoVAgQJ6U1MVXOaj8PK2l7WJ3RER9xtqwdhxkhw/edit?usp=sharing"",""ระยอง!J274"")"),0)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IFERROR(__xludf.DUMMYFUNCTION("IMPORTRANGE(""https://docs.google.com/spreadsheets/d/1SX6NBoVAgQJ6U1MVXOaj8PK2l7WJ3RER9xtqwdhxkhw/edit?usp=sharing"",""ระยอง!I275"")"),200)</f>
        <v>200</v>
      </c>
      <c r="J380" s="371">
        <f ca="1">IFERROR(__xludf.DUMMYFUNCTION("IMPORTRANGE(""https://docs.google.com/spreadsheets/d/1SX6NBoVAgQJ6U1MVXOaj8PK2l7WJ3RER9xtqwdhxkhw/edit?usp=sharing"",""ระยอง!J275"")"),0)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IFERROR(__xludf.DUMMYFUNCTION("IMPORTRANGE(""https://docs.google.com/spreadsheets/d/1SX6NBoVAgQJ6U1MVXOaj8PK2l7WJ3RER9xtqwdhxkhw/edit?usp=sharing"",""ระยอง!L275"")"),207560)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IFERROR(__xludf.DUMMYFUNCTION("IMPORTRANGE(""https://docs.google.com/spreadsheets/d/1SX6NBoVAgQJ6U1MVXOaj8PK2l7WJ3RER9xtqwdhxkhw/edit?usp=sharing"",""ระยอง!M275"")"),68610)</f>
        <v>68610</v>
      </c>
      <c r="O380" s="373">
        <f ca="1">+IF(L380&gt;0,N380*100/L380,0)</f>
        <v>33.055502023511274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IFERROR(__xludf.DUMMYFUNCTION("IMPORTRANGE(""https://docs.google.com/spreadsheets/d/1SX6NBoVAgQJ6U1MVXOaj8PK2l7WJ3RER9xtqwdhxkhw/edit?usp=sharing"",""ระยอง!I276"")"),20)</f>
        <v>20</v>
      </c>
      <c r="J381" s="371">
        <f ca="1">IFERROR(__xludf.DUMMYFUNCTION("IMPORTRANGE(""https://docs.google.com/spreadsheets/d/1SX6NBoVAgQJ6U1MVXOaj8PK2l7WJ3RER9xtqwdhxkhw/edit?usp=sharing"",""ระยอง!J276"")"),20)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IFERROR(__xludf.DUMMYFUNCTION("IMPORTRANGE(""https://docs.google.com/spreadsheets/d/1SX6NBoVAgQJ6U1MVXOaj8PK2l7WJ3RER9xtqwdhxkhw/edit?usp=sharing"",""ระยอง!L277"")"),0)</f>
        <v>0</v>
      </c>
      <c r="M382" s="164"/>
      <c r="N382" s="164">
        <f ca="1">IFERROR(__xludf.DUMMYFUNCTION("IMPORTRANGE(""https://docs.google.com/spreadsheets/d/1SX6NBoVAgQJ6U1MVXOaj8PK2l7WJ3RER9xtqwdhxkhw/edit?usp=sharing"",""ระยอง!M277"")"),0)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IFERROR(__xludf.DUMMYFUNCTION("IMPORTRANGE(""https://docs.google.com/spreadsheets/d/1SX6NBoVAgQJ6U1MVXOaj8PK2l7WJ3RER9xtqwdhxkhw/edit?usp=sharing"",""ระยอง!L278"")"),207560)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IFERROR(__xludf.DUMMYFUNCTION("IMPORTRANGE(""https://docs.google.com/spreadsheets/d/1SX6NBoVAgQJ6U1MVXOaj8PK2l7WJ3RER9xtqwdhxkhw/edit?usp=sharing"",""ระยอง!M278"")"),68610)</f>
        <v>68610</v>
      </c>
      <c r="O383" s="165">
        <f t="shared" ca="1" si="109"/>
        <v>33.055502023511274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IFERROR(__xludf.DUMMYFUNCTION("IMPORTRANGE(""https://docs.google.com/spreadsheets/d/1SX6NBoVAgQJ6U1MVXOaj8PK2l7WJ3RER9xtqwdhxkhw/edit?usp=sharing"",""ระยอง!L279"")"),0)</f>
        <v>0</v>
      </c>
      <c r="M384" s="169"/>
      <c r="N384" s="169">
        <f ca="1">IFERROR(__xludf.DUMMYFUNCTION("IMPORTRANGE(""https://docs.google.com/spreadsheets/d/1SX6NBoVAgQJ6U1MVXOaj8PK2l7WJ3RER9xtqwdhxkhw/edit?usp=sharing"",""ระยอง!M279"")"),0)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IFERROR(__xludf.DUMMYFUNCTION("IMPORTRANGE(""https://docs.google.com/spreadsheets/d/1SX6NBoVAgQJ6U1MVXOaj8PK2l7WJ3RER9xtqwdhxkhw/edit?usp=sharing"",""ระยอง!L280"")"),207560)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IFERROR(__xludf.DUMMYFUNCTION("IMPORTRANGE(""https://docs.google.com/spreadsheets/d/1SX6NBoVAgQJ6U1MVXOaj8PK2l7WJ3RER9xtqwdhxkhw/edit?usp=sharing"",""ระยอง!M280"")"),68610)</f>
        <v>68610</v>
      </c>
      <c r="O385" s="169">
        <f t="shared" ca="1" si="109"/>
        <v>33.055502023511274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IFERROR(__xludf.DUMMYFUNCTION("IMPORTRANGE(""https://docs.google.com/spreadsheets/d/1SX6NBoVAgQJ6U1MVXOaj8PK2l7WJ3RER9xtqwdhxkhw/edit?usp=sharing"",""ระยอง!M281"")"),58800)</f>
        <v>58800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IFERROR(__xludf.DUMMYFUNCTION("IMPORTRANGE(""https://docs.google.com/spreadsheets/d/1SX6NBoVAgQJ6U1MVXOaj8PK2l7WJ3RER9xtqwdhxkhw/edit?usp=sharing"",""ระยอง!M282"")"),0)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IFERROR(__xludf.DUMMYFUNCTION("IMPORTRANGE(""https://docs.google.com/spreadsheets/d/1SX6NBoVAgQJ6U1MVXOaj8PK2l7WJ3RER9xtqwdhxkhw/edit?usp=sharing"",""ระยอง!M283"")"),0)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IFERROR(__xludf.DUMMYFUNCTION("IMPORTRANGE(""https://docs.google.com/spreadsheets/d/1SX6NBoVAgQJ6U1MVXOaj8PK2l7WJ3RER9xtqwdhxkhw/edit?usp=sharing"",""ระยอง!M284"")"),9810)</f>
        <v>9810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IFERROR(__xludf.DUMMYFUNCTION("IMPORTRANGE(""https://docs.google.com/spreadsheets/d/1SX6NBoVAgQJ6U1MVXOaj8PK2l7WJ3RER9xtqwdhxkhw/edit?usp=sharing"",""ระยอง!J286"")"),0)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IFERROR(__xludf.DUMMYFUNCTION("IMPORTRANGE(""https://docs.google.com/spreadsheets/d/1SX6NBoVAgQJ6U1MVXOaj8PK2l7WJ3RER9xtqwdhxkhw/edit?usp=sharing"",""ระยอง!J287"")"),1)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IFERROR(__xludf.DUMMYFUNCTION("IMPORTRANGE(""https://docs.google.com/spreadsheets/d/1SX6NBoVAgQJ6U1MVXOaj8PK2l7WJ3RER9xtqwdhxkhw/edit?usp=sharing"",""ระยอง!J288"")"),1)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IFERROR(__xludf.DUMMYFUNCTION("IMPORTRANGE(""https://docs.google.com/spreadsheets/d/1SX6NBoVAgQJ6U1MVXOaj8PK2l7WJ3RER9xtqwdhxkhw/edit?usp=sharing"",""ระยอง!J289"")"),0)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IFERROR(__xludf.DUMMYFUNCTION("IMPORTRANGE(""https://docs.google.com/spreadsheets/d/1SX6NBoVAgQJ6U1MVXOaj8PK2l7WJ3RER9xtqwdhxkhw/edit?usp=sharing"",""ระยอง!I291"")"),20)</f>
        <v>20</v>
      </c>
      <c r="J396" s="198">
        <f ca="1">IFERROR(__xludf.DUMMYFUNCTION("IMPORTRANGE(""https://docs.google.com/spreadsheets/d/1SX6NBoVAgQJ6U1MVXOaj8PK2l7WJ3RER9xtqwdhxkhw/edit?usp=sharing"",""ระยอง!J291"")"),20)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IFERROR(__xludf.DUMMYFUNCTION("IMPORTRANGE(""https://docs.google.com/spreadsheets/d/1SX6NBoVAgQJ6U1MVXOaj8PK2l7WJ3RER9xtqwdhxkhw/edit?usp=sharing"",""ระยอง!I292"")"),200)</f>
        <v>200</v>
      </c>
      <c r="J397" s="198">
        <f ca="1">IFERROR(__xludf.DUMMYFUNCTION("IMPORTRANGE(""https://docs.google.com/spreadsheets/d/1SX6NBoVAgQJ6U1MVXOaj8PK2l7WJ3RER9xtqwdhxkhw/edit?usp=sharing"",""ระยอง!J292"")"),0)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IFERROR(__xludf.DUMMYFUNCTION("IMPORTRANGE(""https://docs.google.com/spreadsheets/d/1SX6NBoVAgQJ6U1MVXOaj8PK2l7WJ3RER9xtqwdhxkhw/edit?usp=sharing"",""ระยอง!I293"")"),20)</f>
        <v>20</v>
      </c>
      <c r="J398" s="198">
        <f ca="1">IFERROR(__xludf.DUMMYFUNCTION("IMPORTRANGE(""https://docs.google.com/spreadsheets/d/1SX6NBoVAgQJ6U1MVXOaj8PK2l7WJ3RER9xtqwdhxkhw/edit?usp=sharing"",""ระยอง!J293"")"),0)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IFERROR(__xludf.DUMMYFUNCTION("IMPORTRANGE(""https://docs.google.com/spreadsheets/d/1SX6NBoVAgQJ6U1MVXOaj8PK2l7WJ3RER9xtqwdhxkhw/edit?usp=sharing"",""ระยอง!J294"")"),0)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IFERROR(__xludf.DUMMYFUNCTION("IMPORTRANGE(""https://docs.google.com/spreadsheets/d/1SX6NBoVAgQJ6U1MVXOaj8PK2l7WJ3RER9xtqwdhxkhw/edit?usp=sharing"",""ระยอง!J295"")"),0)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IFERROR(__xludf.DUMMYFUNCTION("IMPORTRANGE(""https://docs.google.com/spreadsheets/d/1SX6NBoVAgQJ6U1MVXOaj8PK2l7WJ3RER9xtqwdhxkhw/edit?usp=sharing"",""ระยอง!I296"")"),135)</f>
        <v>135</v>
      </c>
      <c r="J401" s="371">
        <f ca="1">IFERROR(__xludf.DUMMYFUNCTION("IMPORTRANGE(""https://docs.google.com/spreadsheets/d/1SX6NBoVAgQJ6U1MVXOaj8PK2l7WJ3RER9xtqwdhxkhw/edit?usp=sharing"",""ระยอง!J296"")"),0)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IFERROR(__xludf.DUMMYFUNCTION("IMPORTRANGE(""https://docs.google.com/spreadsheets/d/1SX6NBoVAgQJ6U1MVXOaj8PK2l7WJ3RER9xtqwdhxkhw/edit?usp=sharing"",""ระยอง!L296"")"),156040)</f>
        <v>156040</v>
      </c>
      <c r="M401" s="373"/>
      <c r="N401" s="373">
        <f ca="1">IFERROR(__xludf.DUMMYFUNCTION("IMPORTRANGE(""https://docs.google.com/spreadsheets/d/1SX6NBoVAgQJ6U1MVXOaj8PK2l7WJ3RER9xtqwdhxkhw/edit?usp=sharing"",""ระยอง!M296"")"),105600)</f>
        <v>105600</v>
      </c>
      <c r="O401" s="373">
        <f ca="1">+IF(L401&gt;0,N401*100/L401,0)</f>
        <v>67.674955139707762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IFERROR(__xludf.DUMMYFUNCTION("IMPORTRANGE(""https://docs.google.com/spreadsheets/d/1SX6NBoVAgQJ6U1MVXOaj8PK2l7WJ3RER9xtqwdhxkhw/edit?usp=sharing"",""ระยอง!I297"")"),45)</f>
        <v>45</v>
      </c>
      <c r="J402" s="371">
        <f ca="1">IFERROR(__xludf.DUMMYFUNCTION("IMPORTRANGE(""https://docs.google.com/spreadsheets/d/1SX6NBoVAgQJ6U1MVXOaj8PK2l7WJ3RER9xtqwdhxkhw/edit?usp=sharing"",""ระยอง!J297"")"),45)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IFERROR(__xludf.DUMMYFUNCTION("IMPORTRANGE(""https://docs.google.com/spreadsheets/d/1SX6NBoVAgQJ6U1MVXOaj8PK2l7WJ3RER9xtqwdhxkhw/edit?usp=sharing"",""ระยอง!L298"")"),0)</f>
        <v>0</v>
      </c>
      <c r="M403" s="164"/>
      <c r="N403" s="169">
        <f ca="1">IFERROR(__xludf.DUMMYFUNCTION("IMPORTRANGE(""https://docs.google.com/spreadsheets/d/1SX6NBoVAgQJ6U1MVXOaj8PK2l7WJ3RER9xtqwdhxkhw/edit?usp=sharing"",""ระยอง!M298"")"),0)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IFERROR(__xludf.DUMMYFUNCTION("IMPORTRANGE(""https://docs.google.com/spreadsheets/d/1SX6NBoVAgQJ6U1MVXOaj8PK2l7WJ3RER9xtqwdhxkhw/edit?usp=sharing"",""ระยอง!L299"")"),156040)</f>
        <v>156040</v>
      </c>
      <c r="M404" s="165"/>
      <c r="N404" s="169">
        <f ca="1">IFERROR(__xludf.DUMMYFUNCTION("IMPORTRANGE(""https://docs.google.com/spreadsheets/d/1SX6NBoVAgQJ6U1MVXOaj8PK2l7WJ3RER9xtqwdhxkhw/edit?usp=sharing"",""ระยอง!M299"")"),105600)</f>
        <v>105600</v>
      </c>
      <c r="O404" s="169">
        <f t="shared" ca="1" si="112"/>
        <v>67.674955139707762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IFERROR(__xludf.DUMMYFUNCTION("IMPORTRANGE(""https://docs.google.com/spreadsheets/d/1SX6NBoVAgQJ6U1MVXOaj8PK2l7WJ3RER9xtqwdhxkhw/edit?usp=sharing"",""ระยอง!L300"")"),0)</f>
        <v>0</v>
      </c>
      <c r="M405" s="169"/>
      <c r="N405" s="169">
        <f ca="1">IFERROR(__xludf.DUMMYFUNCTION("IMPORTRANGE(""https://docs.google.com/spreadsheets/d/1SX6NBoVAgQJ6U1MVXOaj8PK2l7WJ3RER9xtqwdhxkhw/edit?usp=sharing"",""ระยอง!M300"")"),0)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IFERROR(__xludf.DUMMYFUNCTION("IMPORTRANGE(""https://docs.google.com/spreadsheets/d/1SX6NBoVAgQJ6U1MVXOaj8PK2l7WJ3RER9xtqwdhxkhw/edit?usp=sharing"",""ระยอง!L301"")"),156040)</f>
        <v>156040</v>
      </c>
      <c r="M406" s="169"/>
      <c r="N406" s="169">
        <f ca="1">IFERROR(__xludf.DUMMYFUNCTION("IMPORTRANGE(""https://docs.google.com/spreadsheets/d/1SX6NBoVAgQJ6U1MVXOaj8PK2l7WJ3RER9xtqwdhxkhw/edit?usp=sharing"",""ระยอง!M301"")"),105600)</f>
        <v>105600</v>
      </c>
      <c r="O406" s="169">
        <f t="shared" ca="1" si="112"/>
        <v>67.674955139707762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IFERROR(__xludf.DUMMYFUNCTION("IMPORTRANGE(""https://docs.google.com/spreadsheets/d/1SX6NBoVAgQJ6U1MVXOaj8PK2l7WJ3RER9xtqwdhxkhw/edit?usp=sharing"",""ระยอง!M302"")"),92540)</f>
        <v>92540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IFERROR(__xludf.DUMMYFUNCTION("IMPORTRANGE(""https://docs.google.com/spreadsheets/d/1SX6NBoVAgQJ6U1MVXOaj8PK2l7WJ3RER9xtqwdhxkhw/edit?usp=sharing"",""ระยอง!M303"")"),0)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IFERROR(__xludf.DUMMYFUNCTION("IMPORTRANGE(""https://docs.google.com/spreadsheets/d/1SX6NBoVAgQJ6U1MVXOaj8PK2l7WJ3RER9xtqwdhxkhw/edit?usp=sharing"",""ระยอง!M304"")"),0)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IFERROR(__xludf.DUMMYFUNCTION("IMPORTRANGE(""https://docs.google.com/spreadsheets/d/1SX6NBoVAgQJ6U1MVXOaj8PK2l7WJ3RER9xtqwdhxkhw/edit?usp=sharing"",""ระยอง!M305"")"),13060)</f>
        <v>13060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IFERROR(__xludf.DUMMYFUNCTION("IMPORTRANGE(""https://docs.google.com/spreadsheets/d/1SX6NBoVAgQJ6U1MVXOaj8PK2l7WJ3RER9xtqwdhxkhw/edit?usp=sharing"",""ระยอง!J307"")"),0)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IFERROR(__xludf.DUMMYFUNCTION("IMPORTRANGE(""https://docs.google.com/spreadsheets/d/1SX6NBoVAgQJ6U1MVXOaj8PK2l7WJ3RER9xtqwdhxkhw/edit?usp=sharing"",""ระยอง!J308"")"),1)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IFERROR(__xludf.DUMMYFUNCTION("IMPORTRANGE(""https://docs.google.com/spreadsheets/d/1SX6NBoVAgQJ6U1MVXOaj8PK2l7WJ3RER9xtqwdhxkhw/edit?usp=sharing"",""ระยอง!J309"")"),1)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IFERROR(__xludf.DUMMYFUNCTION("IMPORTRANGE(""https://docs.google.com/spreadsheets/d/1SX6NBoVAgQJ6U1MVXOaj8PK2l7WJ3RER9xtqwdhxkhw/edit?usp=sharing"",""ระยอง!J310"")"),0)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IFERROR(__xludf.DUMMYFUNCTION("IMPORTRANGE(""https://docs.google.com/spreadsheets/d/1SX6NBoVAgQJ6U1MVXOaj8PK2l7WJ3RER9xtqwdhxkhw/edit?usp=sharing"",""ระยอง!I311"")"),45)</f>
        <v>45</v>
      </c>
      <c r="J416" s="201">
        <f ca="1">IFERROR(__xludf.DUMMYFUNCTION("IMPORTRANGE(""https://docs.google.com/spreadsheets/d/1SX6NBoVAgQJ6U1MVXOaj8PK2l7WJ3RER9xtqwdhxkhw/edit?usp=sharing"",""ระยอง!J311"")"),45)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IFERROR(__xludf.DUMMYFUNCTION("IMPORTRANGE(""https://docs.google.com/spreadsheets/d/1SX6NBoVAgQJ6U1MVXOaj8PK2l7WJ3RER9xtqwdhxkhw/edit?usp=sharing"",""ระยอง!I312"")"),15)</f>
        <v>15</v>
      </c>
      <c r="J417" s="392">
        <f ca="1">IFERROR(__xludf.DUMMYFUNCTION("IMPORTRANGE(""https://docs.google.com/spreadsheets/d/1SX6NBoVAgQJ6U1MVXOaj8PK2l7WJ3RER9xtqwdhxkhw/edit?usp=sharing"",""ระยอง!J312"")"),15)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IFERROR(__xludf.DUMMYFUNCTION("IMPORTRANGE(""https://docs.google.com/spreadsheets/d/1SX6NBoVAgQJ6U1MVXOaj8PK2l7WJ3RER9xtqwdhxkhw/edit?usp=sharing"",""ระยอง!I313"")"),45)</f>
        <v>45</v>
      </c>
      <c r="J418" s="393">
        <f ca="1">IFERROR(__xludf.DUMMYFUNCTION("IMPORTRANGE(""https://docs.google.com/spreadsheets/d/1SX6NBoVAgQJ6U1MVXOaj8PK2l7WJ3RER9xtqwdhxkhw/edit?usp=sharing"",""ระยอง!J313"")"),0)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IFERROR(__xludf.DUMMYFUNCTION("IMPORTRANGE(""https://docs.google.com/spreadsheets/d/1SX6NBoVAgQJ6U1MVXOaj8PK2l7WJ3RER9xtqwdhxkhw/edit?usp=sharing"",""ระยอง!I314"")"),15)</f>
        <v>15</v>
      </c>
      <c r="J419" s="394">
        <f ca="1">IFERROR(__xludf.DUMMYFUNCTION("IMPORTRANGE(""https://docs.google.com/spreadsheets/d/1SX6NBoVAgQJ6U1MVXOaj8PK2l7WJ3RER9xtqwdhxkhw/edit?usp=sharing"",""ระยอง!J314"")"),15)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IFERROR(__xludf.DUMMYFUNCTION("IMPORTRANGE(""https://docs.google.com/spreadsheets/d/1SX6NBoVAgQJ6U1MVXOaj8PK2l7WJ3RER9xtqwdhxkhw/edit?usp=sharing"",""ระยอง!I315"")"),15)</f>
        <v>15</v>
      </c>
      <c r="J420" s="394">
        <f ca="1">IFERROR(__xludf.DUMMYFUNCTION("IMPORTRANGE(""https://docs.google.com/spreadsheets/d/1SX6NBoVAgQJ6U1MVXOaj8PK2l7WJ3RER9xtqwdhxkhw/edit?usp=sharing"",""ระยอง!J315"")"),15)</f>
        <v>15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IFERROR(__xludf.DUMMYFUNCTION("IMPORTRANGE(""https://docs.google.com/spreadsheets/d/1SX6NBoVAgQJ6U1MVXOaj8PK2l7WJ3RER9xtqwdhxkhw/edit?usp=sharing"",""ระยอง!I316"")"),16)</f>
        <v>16</v>
      </c>
      <c r="J421" s="392">
        <f ca="1">IFERROR(__xludf.DUMMYFUNCTION("IMPORTRANGE(""https://docs.google.com/spreadsheets/d/1SX6NBoVAgQJ6U1MVXOaj8PK2l7WJ3RER9xtqwdhxkhw/edit?usp=sharing"",""ระยอง!J316"")"),16)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IFERROR(__xludf.DUMMYFUNCTION("IMPORTRANGE(""https://docs.google.com/spreadsheets/d/1SX6NBoVAgQJ6U1MVXOaj8PK2l7WJ3RER9xtqwdhxkhw/edit?usp=sharing"",""ระยอง!I317"")"),48)</f>
        <v>48</v>
      </c>
      <c r="J422" s="393">
        <f ca="1">IFERROR(__xludf.DUMMYFUNCTION("IMPORTRANGE(""https://docs.google.com/spreadsheets/d/1SX6NBoVAgQJ6U1MVXOaj8PK2l7WJ3RER9xtqwdhxkhw/edit?usp=sharing"",""ระยอง!J317"")"),0)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IFERROR(__xludf.DUMMYFUNCTION("IMPORTRANGE(""https://docs.google.com/spreadsheets/d/1SX6NBoVAgQJ6U1MVXOaj8PK2l7WJ3RER9xtqwdhxkhw/edit?usp=sharing"",""ระยอง!I318"")"),16)</f>
        <v>16</v>
      </c>
      <c r="J423" s="394">
        <f ca="1">IFERROR(__xludf.DUMMYFUNCTION("IMPORTRANGE(""https://docs.google.com/spreadsheets/d/1SX6NBoVAgQJ6U1MVXOaj8PK2l7WJ3RER9xtqwdhxkhw/edit?usp=sharing"",""ระยอง!J318"")"),16)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IFERROR(__xludf.DUMMYFUNCTION("IMPORTRANGE(""https://docs.google.com/spreadsheets/d/1SX6NBoVAgQJ6U1MVXOaj8PK2l7WJ3RER9xtqwdhxkhw/edit?usp=sharing"",""ระยอง!I319"")"),16)</f>
        <v>16</v>
      </c>
      <c r="J424" s="394">
        <f ca="1">IFERROR(__xludf.DUMMYFUNCTION("IMPORTRANGE(""https://docs.google.com/spreadsheets/d/1SX6NBoVAgQJ6U1MVXOaj8PK2l7WJ3RER9xtqwdhxkhw/edit?usp=sharing"",""ระยอง!J319"")"),16)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IFERROR(__xludf.DUMMYFUNCTION("IMPORTRANGE(""https://docs.google.com/spreadsheets/d/1SX6NBoVAgQJ6U1MVXOaj8PK2l7WJ3RER9xtqwdhxkhw/edit?usp=sharing"",""ระยอง!I320"")"),16)</f>
        <v>16</v>
      </c>
      <c r="J425" s="394">
        <f ca="1">IFERROR(__xludf.DUMMYFUNCTION("IMPORTRANGE(""https://docs.google.com/spreadsheets/d/1SX6NBoVAgQJ6U1MVXOaj8PK2l7WJ3RER9xtqwdhxkhw/edit?usp=sharing"",""ระยอง!J320"")"),16)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IFERROR(__xludf.DUMMYFUNCTION("IMPORTRANGE(""https://docs.google.com/spreadsheets/d/1SX6NBoVAgQJ6U1MVXOaj8PK2l7WJ3RER9xtqwdhxkhw/edit?usp=sharing"",""ระยอง!I321"")"),14)</f>
        <v>14</v>
      </c>
      <c r="J426" s="392">
        <f ca="1">IFERROR(__xludf.DUMMYFUNCTION("IMPORTRANGE(""https://docs.google.com/spreadsheets/d/1SX6NBoVAgQJ6U1MVXOaj8PK2l7WJ3RER9xtqwdhxkhw/edit?usp=sharing"",""ระยอง!J321"")"),14)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IFERROR(__xludf.DUMMYFUNCTION("IMPORTRANGE(""https://docs.google.com/spreadsheets/d/1SX6NBoVAgQJ6U1MVXOaj8PK2l7WJ3RER9xtqwdhxkhw/edit?usp=sharing"",""ระยอง!I322"")"),42)</f>
        <v>42</v>
      </c>
      <c r="J427" s="393">
        <f ca="1">IFERROR(__xludf.DUMMYFUNCTION("IMPORTRANGE(""https://docs.google.com/spreadsheets/d/1SX6NBoVAgQJ6U1MVXOaj8PK2l7WJ3RER9xtqwdhxkhw/edit?usp=sharing"",""ระยอง!J322"")"),0)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IFERROR(__xludf.DUMMYFUNCTION("IMPORTRANGE(""https://docs.google.com/spreadsheets/d/1SX6NBoVAgQJ6U1MVXOaj8PK2l7WJ3RER9xtqwdhxkhw/edit?usp=sharing"",""ระยอง!I323"")"),14)</f>
        <v>14</v>
      </c>
      <c r="J428" s="394">
        <f ca="1">IFERROR(__xludf.DUMMYFUNCTION("IMPORTRANGE(""https://docs.google.com/spreadsheets/d/1SX6NBoVAgQJ6U1MVXOaj8PK2l7WJ3RER9xtqwdhxkhw/edit?usp=sharing"",""ระยอง!J323"")"),14)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IFERROR(__xludf.DUMMYFUNCTION("IMPORTRANGE(""https://docs.google.com/spreadsheets/d/1SX6NBoVAgQJ6U1MVXOaj8PK2l7WJ3RER9xtqwdhxkhw/edit?usp=sharing"",""ระยอง!I324"")"),14)</f>
        <v>14</v>
      </c>
      <c r="J429" s="394">
        <f ca="1">IFERROR(__xludf.DUMMYFUNCTION("IMPORTRANGE(""https://docs.google.com/spreadsheets/d/1SX6NBoVAgQJ6U1MVXOaj8PK2l7WJ3RER9xtqwdhxkhw/edit?usp=sharing"",""ระยอง!J324"")"),14)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IFERROR(__xludf.DUMMYFUNCTION("IMPORTRANGE(""https://docs.google.com/spreadsheets/d/1SX6NBoVAgQJ6U1MVXOaj8PK2l7WJ3RER9xtqwdhxkhw/edit?usp=sharing"",""ระยอง!I325"")"),31)</f>
        <v>31</v>
      </c>
      <c r="J430" s="392">
        <f ca="1">IFERROR(__xludf.DUMMYFUNCTION("IMPORTRANGE(""https://docs.google.com/spreadsheets/d/1SX6NBoVAgQJ6U1MVXOaj8PK2l7WJ3RER9xtqwdhxkhw/edit?usp=sharing"",""ระยอง!J325"")"),0)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IFERROR(__xludf.DUMMYFUNCTION("IMPORTRANGE(""https://docs.google.com/spreadsheets/d/1SX6NBoVAgQJ6U1MVXOaj8PK2l7WJ3RER9xtqwdhxkhw/edit?usp=sharing"",""ระยอง!I326"")"),15)</f>
        <v>15</v>
      </c>
      <c r="J431" s="394">
        <f ca="1">IFERROR(__xludf.DUMMYFUNCTION("IMPORTRANGE(""https://docs.google.com/spreadsheets/d/1SX6NBoVAgQJ6U1MVXOaj8PK2l7WJ3RER9xtqwdhxkhw/edit?usp=sharing"",""ระยอง!J326"")"),0)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IFERROR(__xludf.DUMMYFUNCTION("IMPORTRANGE(""https://docs.google.com/spreadsheets/d/1SX6NBoVAgQJ6U1MVXOaj8PK2l7WJ3RER9xtqwdhxkhw/edit?usp=sharing"",""ระยอง!I327"")"),16)</f>
        <v>16</v>
      </c>
      <c r="J432" s="394">
        <f ca="1">IFERROR(__xludf.DUMMYFUNCTION("IMPORTRANGE(""https://docs.google.com/spreadsheets/d/1SX6NBoVAgQJ6U1MVXOaj8PK2l7WJ3RER9xtqwdhxkhw/edit?usp=sharing"",""ระยอง!J327"")"),0)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IFERROR(__xludf.DUMMYFUNCTION("IMPORTRANGE(""https://docs.google.com/spreadsheets/d/1SX6NBoVAgQJ6U1MVXOaj8PK2l7WJ3RER9xtqwdhxkhw/edit?usp=sharing"",""ระยอง!J328"")"),0)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IFERROR(__xludf.DUMMYFUNCTION("IMPORTRANGE(""https://docs.google.com/spreadsheets/d/1SX6NBoVAgQJ6U1MVXOaj8PK2l7WJ3RER9xtqwdhxkhw/edit?usp=sharing"",""ระยอง!J329"")"),0)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IFERROR(__xludf.DUMMYFUNCTION("IMPORTRANGE(""https://docs.google.com/spreadsheets/d/1SX6NBoVAgQJ6U1MVXOaj8PK2l7WJ3RER9xtqwdhxkhw/edit?usp=sharing"",""ระยอง!I330"")"),20)</f>
        <v>20</v>
      </c>
      <c r="J435" s="410">
        <f ca="1">IFERROR(__xludf.DUMMYFUNCTION("IMPORTRANGE(""https://docs.google.com/spreadsheets/d/1SX6NBoVAgQJ6U1MVXOaj8PK2l7WJ3RER9xtqwdhxkhw/edit?usp=sharing"",""ระยอง!J330"")"),20)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IFERROR(__xludf.DUMMYFUNCTION("IMPORTRANGE(""https://docs.google.com/spreadsheets/d/1SX6NBoVAgQJ6U1MVXOaj8PK2l7WJ3RER9xtqwdhxkhw/edit?usp=sharing"",""ระยอง!L330"")"),100000)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IFERROR(__xludf.DUMMYFUNCTION("IMPORTRANGE(""https://docs.google.com/spreadsheets/d/1SX6NBoVAgQJ6U1MVXOaj8PK2l7WJ3RER9xtqwdhxkhw/edit?usp=sharing"",""ระยอง!M330"")"),48200)</f>
        <v>48200</v>
      </c>
      <c r="O435" s="412">
        <f t="shared" ref="O435:O439" ca="1" si="114">+IF(L435&gt;0,N435*100/L435,0)</f>
        <v>48.2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IFERROR(__xludf.DUMMYFUNCTION("IMPORTRANGE(""https://docs.google.com/spreadsheets/d/1SX6NBoVAgQJ6U1MVXOaj8PK2l7WJ3RER9xtqwdhxkhw/edit?usp=sharing"",""ระยอง!L331"")"),0)</f>
        <v>0</v>
      </c>
      <c r="M436" s="164"/>
      <c r="N436" s="169">
        <f ca="1">IFERROR(__xludf.DUMMYFUNCTION("IMPORTRANGE(""https://docs.google.com/spreadsheets/d/1SX6NBoVAgQJ6U1MVXOaj8PK2l7WJ3RER9xtqwdhxkhw/edit?usp=sharing"",""ระยอง!M331"")"),0)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IFERROR(__xludf.DUMMYFUNCTION("IMPORTRANGE(""https://docs.google.com/spreadsheets/d/1SX6NBoVAgQJ6U1MVXOaj8PK2l7WJ3RER9xtqwdhxkhw/edit?usp=sharing"",""ระยอง!L332"")"),100000)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IFERROR(__xludf.DUMMYFUNCTION("IMPORTRANGE(""https://docs.google.com/spreadsheets/d/1SX6NBoVAgQJ6U1MVXOaj8PK2l7WJ3RER9xtqwdhxkhw/edit?usp=sharing"",""ระยอง!M332"")"),48200)</f>
        <v>48200</v>
      </c>
      <c r="O437" s="169">
        <f t="shared" ca="1" si="114"/>
        <v>48.2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IFERROR(__xludf.DUMMYFUNCTION("IMPORTRANGE(""https://docs.google.com/spreadsheets/d/1SX6NBoVAgQJ6U1MVXOaj8PK2l7WJ3RER9xtqwdhxkhw/edit?usp=sharing"",""ระยอง!L333"")"),0)</f>
        <v>0</v>
      </c>
      <c r="M438" s="169"/>
      <c r="N438" s="169">
        <f ca="1">IFERROR(__xludf.DUMMYFUNCTION("IMPORTRANGE(""https://docs.google.com/spreadsheets/d/1SX6NBoVAgQJ6U1MVXOaj8PK2l7WJ3RER9xtqwdhxkhw/edit?usp=sharing"",""ระยอง!M333"")"),0)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IFERROR(__xludf.DUMMYFUNCTION("IMPORTRANGE(""https://docs.google.com/spreadsheets/d/1SX6NBoVAgQJ6U1MVXOaj8PK2l7WJ3RER9xtqwdhxkhw/edit?usp=sharing"",""ระยอง!L334"")"),100000)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IFERROR(__xludf.DUMMYFUNCTION("IMPORTRANGE(""https://docs.google.com/spreadsheets/d/1SX6NBoVAgQJ6U1MVXOaj8PK2l7WJ3RER9xtqwdhxkhw/edit?usp=sharing"",""ระยอง!M334"")"),48200)</f>
        <v>48200</v>
      </c>
      <c r="O439" s="169">
        <f t="shared" ca="1" si="114"/>
        <v>48.2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IFERROR(__xludf.DUMMYFUNCTION("IMPORTRANGE(""https://docs.google.com/spreadsheets/d/1SX6NBoVAgQJ6U1MVXOaj8PK2l7WJ3RER9xtqwdhxkhw/edit?usp=sharing"",""ระยอง!M335"")"),48200)</f>
        <v>48200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IFERROR(__xludf.DUMMYFUNCTION("IMPORTRANGE(""https://docs.google.com/spreadsheets/d/1SX6NBoVAgQJ6U1MVXOaj8PK2l7WJ3RER9xtqwdhxkhw/edit?usp=sharing"",""ระยอง!M336"")"),0)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IFERROR(__xludf.DUMMYFUNCTION("IMPORTRANGE(""https://docs.google.com/spreadsheets/d/1SX6NBoVAgQJ6U1MVXOaj8PK2l7WJ3RER9xtqwdhxkhw/edit?usp=sharing"",""ระยอง!M337"")"),0)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IFERROR(__xludf.DUMMYFUNCTION("IMPORTRANGE(""https://docs.google.com/spreadsheets/d/1SX6NBoVAgQJ6U1MVXOaj8PK2l7WJ3RER9xtqwdhxkhw/edit?usp=sharing"",""ระยอง!M338"")"),0)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IFERROR(__xludf.DUMMYFUNCTION("IMPORTRANGE(""https://docs.google.com/spreadsheets/d/1SX6NBoVAgQJ6U1MVXOaj8PK2l7WJ3RER9xtqwdhxkhw/edit?usp=sharing"",""ระยอง!J340"")"),0)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IFERROR(__xludf.DUMMYFUNCTION("IMPORTRANGE(""https://docs.google.com/spreadsheets/d/1SX6NBoVAgQJ6U1MVXOaj8PK2l7WJ3RER9xtqwdhxkhw/edit?usp=sharing"",""ระยอง!J341"")"),1)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IFERROR(__xludf.DUMMYFUNCTION("IMPORTRANGE(""https://docs.google.com/spreadsheets/d/1SX6NBoVAgQJ6U1MVXOaj8PK2l7WJ3RER9xtqwdhxkhw/edit?usp=sharing"",""ระยอง!J342"")"),1)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IFERROR(__xludf.DUMMYFUNCTION("IMPORTRANGE(""https://docs.google.com/spreadsheets/d/1SX6NBoVAgQJ6U1MVXOaj8PK2l7WJ3RER9xtqwdhxkhw/edit?usp=sharing"",""ระยอง!J343"")"),0)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IFERROR(__xludf.DUMMYFUNCTION("IMPORTRANGE(""https://docs.google.com/spreadsheets/d/1SX6NBoVAgQJ6U1MVXOaj8PK2l7WJ3RER9xtqwdhxkhw/edit?usp=sharing"",""ระยอง!I344"")"),20)</f>
        <v>20</v>
      </c>
      <c r="J449" s="201">
        <f ca="1">IFERROR(__xludf.DUMMYFUNCTION("IMPORTRANGE(""https://docs.google.com/spreadsheets/d/1SX6NBoVAgQJ6U1MVXOaj8PK2l7WJ3RER9xtqwdhxkhw/edit?usp=sharing"",""ระยอง!J344"")"),20)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IFERROR(__xludf.DUMMYFUNCTION("IMPORTRANGE(""https://docs.google.com/spreadsheets/d/1SX6NBoVAgQJ6U1MVXOaj8PK2l7WJ3RER9xtqwdhxkhw/edit?usp=sharing"",""ระยอง!I345"")"),20)</f>
        <v>20</v>
      </c>
      <c r="J450" s="189">
        <f ca="1">IFERROR(__xludf.DUMMYFUNCTION("IMPORTRANGE(""https://docs.google.com/spreadsheets/d/1SX6NBoVAgQJ6U1MVXOaj8PK2l7WJ3RER9xtqwdhxkhw/edit?usp=sharing"",""ระยอง!J345"")"),20)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IFERROR(__xludf.DUMMYFUNCTION("IMPORTRANGE(""https://docs.google.com/spreadsheets/d/1SX6NBoVAgQJ6U1MVXOaj8PK2l7WJ3RER9xtqwdhxkhw/edit?usp=sharing"",""ระยอง!I346"")"),0)</f>
        <v>0</v>
      </c>
      <c r="J451" s="188">
        <f ca="1">IFERROR(__xludf.DUMMYFUNCTION("IMPORTRANGE(""https://docs.google.com/spreadsheets/d/1SX6NBoVAgQJ6U1MVXOaj8PK2l7WJ3RER9xtqwdhxkhw/edit?usp=sharing"",""ระยอง!J346"")"),0)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IFERROR(__xludf.DUMMYFUNCTION("IMPORTRANGE(""https://docs.google.com/spreadsheets/d/1SX6NBoVAgQJ6U1MVXOaj8PK2l7WJ3RER9xtqwdhxkhw/edit?usp=sharing"",""ระยอง!I347"")"),0)</f>
        <v>0</v>
      </c>
      <c r="J452" s="188">
        <f ca="1">IFERROR(__xludf.DUMMYFUNCTION("IMPORTRANGE(""https://docs.google.com/spreadsheets/d/1SX6NBoVAgQJ6U1MVXOaj8PK2l7WJ3RER9xtqwdhxkhw/edit?usp=sharing"",""ระยอง!J347"")"),0)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IFERROR(__xludf.DUMMYFUNCTION("IMPORTRANGE(""https://docs.google.com/spreadsheets/d/1SX6NBoVAgQJ6U1MVXOaj8PK2l7WJ3RER9xtqwdhxkhw/edit?usp=sharing"",""ระยอง!J348"")"),0)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IFERROR(__xludf.DUMMYFUNCTION("IMPORTRANGE(""https://docs.google.com/spreadsheets/d/1SX6NBoVAgQJ6U1MVXOaj8PK2l7WJ3RER9xtqwdhxkhw/edit?usp=sharing"",""ระยอง!J349"")"),0)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IFERROR(__xludf.DUMMYFUNCTION("IMPORTRANGE(""https://docs.google.com/spreadsheets/d/1SX6NBoVAgQJ6U1MVXOaj8PK2l7WJ3RER9xtqwdhxkhw/edit?usp=sharing"",""ระยอง!I350"")"),7395)</f>
        <v>7395</v>
      </c>
      <c r="J455" s="371">
        <f ca="1">IFERROR(__xludf.DUMMYFUNCTION("IMPORTRANGE(""https://docs.google.com/spreadsheets/d/1SX6NBoVAgQJ6U1MVXOaj8PK2l7WJ3RER9xtqwdhxkhw/edit?usp=sharing"",""ระยอง!J350"")"),7396)</f>
        <v>7396</v>
      </c>
      <c r="K455" s="372">
        <f ca="1">IF(I455&gt;0,J455*100/I455,0)</f>
        <v>100.01352265043948</v>
      </c>
      <c r="L455" s="373">
        <f ca="1">IFERROR(__xludf.DUMMYFUNCTION("IMPORTRANGE(""https://docs.google.com/spreadsheets/d/1SX6NBoVAgQJ6U1MVXOaj8PK2l7WJ3RER9xtqwdhxkhw/edit?usp=sharing"",""ระยอง!L350"")"),94119)</f>
        <v>94119</v>
      </c>
      <c r="M455" s="373"/>
      <c r="N455" s="373">
        <f ca="1">IFERROR(__xludf.DUMMYFUNCTION("IMPORTRANGE(""https://docs.google.com/spreadsheets/d/1SX6NBoVAgQJ6U1MVXOaj8PK2l7WJ3RER9xtqwdhxkhw/edit?usp=sharing"",""ระยอง!M350"")"),24300)</f>
        <v>24300</v>
      </c>
      <c r="O455" s="373">
        <f t="shared" ref="O455:O459" ca="1" si="116">+IF(L455&gt;0,N455*100/L455,0)</f>
        <v>25.818378860803875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IFERROR(__xludf.DUMMYFUNCTION("IMPORTRANGE(""https://docs.google.com/spreadsheets/d/1SX6NBoVAgQJ6U1MVXOaj8PK2l7WJ3RER9xtqwdhxkhw/edit?usp=sharing"",""ระยอง!L351"")"),0)</f>
        <v>0</v>
      </c>
      <c r="M456" s="164"/>
      <c r="N456" s="169">
        <f ca="1">IFERROR(__xludf.DUMMYFUNCTION("IMPORTRANGE(""https://docs.google.com/spreadsheets/d/1SX6NBoVAgQJ6U1MVXOaj8PK2l7WJ3RER9xtqwdhxkhw/edit?usp=sharing"",""ระยอง!M351"")"),0)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IFERROR(__xludf.DUMMYFUNCTION("IMPORTRANGE(""https://docs.google.com/spreadsheets/d/1SX6NBoVAgQJ6U1MVXOaj8PK2l7WJ3RER9xtqwdhxkhw/edit?usp=sharing"",""ระยอง!L352"")"),94119)</f>
        <v>94119</v>
      </c>
      <c r="M457" s="165"/>
      <c r="N457" s="169">
        <f ca="1">IFERROR(__xludf.DUMMYFUNCTION("IMPORTRANGE(""https://docs.google.com/spreadsheets/d/1SX6NBoVAgQJ6U1MVXOaj8PK2l7WJ3RER9xtqwdhxkhw/edit?usp=sharing"",""ระยอง!M352"")"),24300)</f>
        <v>24300</v>
      </c>
      <c r="O457" s="169">
        <f t="shared" ca="1" si="116"/>
        <v>25.818378860803875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IFERROR(__xludf.DUMMYFUNCTION("IMPORTRANGE(""https://docs.google.com/spreadsheets/d/1SX6NBoVAgQJ6U1MVXOaj8PK2l7WJ3RER9xtqwdhxkhw/edit?usp=sharing"",""ระยอง!L353"")"),0)</f>
        <v>0</v>
      </c>
      <c r="M458" s="169"/>
      <c r="N458" s="169">
        <f ca="1">IFERROR(__xludf.DUMMYFUNCTION("IMPORTRANGE(""https://docs.google.com/spreadsheets/d/1SX6NBoVAgQJ6U1MVXOaj8PK2l7WJ3RER9xtqwdhxkhw/edit?usp=sharing"",""ระยอง!M353"")"),0)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IFERROR(__xludf.DUMMYFUNCTION("IMPORTRANGE(""https://docs.google.com/spreadsheets/d/1SX6NBoVAgQJ6U1MVXOaj8PK2l7WJ3RER9xtqwdhxkhw/edit?usp=sharing"",""ระยอง!L354"")"),94119)</f>
        <v>94119</v>
      </c>
      <c r="M459" s="169"/>
      <c r="N459" s="169">
        <f ca="1">IFERROR(__xludf.DUMMYFUNCTION("IMPORTRANGE(""https://docs.google.com/spreadsheets/d/1SX6NBoVAgQJ6U1MVXOaj8PK2l7WJ3RER9xtqwdhxkhw/edit?usp=sharing"",""ระยอง!M354"")"),24300)</f>
        <v>24300</v>
      </c>
      <c r="O459" s="169">
        <f t="shared" ca="1" si="116"/>
        <v>25.818378860803875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IFERROR(__xludf.DUMMYFUNCTION("IMPORTRANGE(""https://docs.google.com/spreadsheets/d/1SX6NBoVAgQJ6U1MVXOaj8PK2l7WJ3RER9xtqwdhxkhw/edit?usp=sharing"",""ระยอง!M355"")"),0)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IFERROR(__xludf.DUMMYFUNCTION("IMPORTRANGE(""https://docs.google.com/spreadsheets/d/1SX6NBoVAgQJ6U1MVXOaj8PK2l7WJ3RER9xtqwdhxkhw/edit?usp=sharing"",""ระยอง!M356"")"),0)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IFERROR(__xludf.DUMMYFUNCTION("IMPORTRANGE(""https://docs.google.com/spreadsheets/d/1SX6NBoVAgQJ6U1MVXOaj8PK2l7WJ3RER9xtqwdhxkhw/edit?usp=sharing"",""ระยอง!M357"")"),0)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IFERROR(__xludf.DUMMYFUNCTION("IMPORTRANGE(""https://docs.google.com/spreadsheets/d/1SX6NBoVAgQJ6U1MVXOaj8PK2l7WJ3RER9xtqwdhxkhw/edit?usp=sharing"",""ระยอง!M358"")"),24300)</f>
        <v>24300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IFERROR(__xludf.DUMMYFUNCTION("IMPORTRANGE(""https://docs.google.com/spreadsheets/d/1SX6NBoVAgQJ6U1MVXOaj8PK2l7WJ3RER9xtqwdhxkhw/edit?usp=sharing"",""ระยอง!I359"")"),7395)</f>
        <v>7395</v>
      </c>
      <c r="J464" s="267">
        <f ca="1">IFERROR(__xludf.DUMMYFUNCTION("IMPORTRANGE(""https://docs.google.com/spreadsheets/d/1SX6NBoVAgQJ6U1MVXOaj8PK2l7WJ3RER9xtqwdhxkhw/edit?usp=sharing"",""ระยอง!J359"")"),7396)</f>
        <v>7396</v>
      </c>
      <c r="K464" s="268">
        <f t="shared" ref="K464:K515" ca="1" si="117">IF(I464&gt;0,J464*100/I464,0)</f>
        <v>100.01352265043948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IFERROR(__xludf.DUMMYFUNCTION("IMPORTRANGE(""https://docs.google.com/spreadsheets/d/1SX6NBoVAgQJ6U1MVXOaj8PK2l7WJ3RER9xtqwdhxkhw/edit?usp=sharing"",""ระยอง!I360"")"),7395)</f>
        <v>7395</v>
      </c>
      <c r="J465" s="420">
        <f ca="1">IFERROR(__xludf.DUMMYFUNCTION("IMPORTRANGE(""https://docs.google.com/spreadsheets/d/1SX6NBoVAgQJ6U1MVXOaj8PK2l7WJ3RER9xtqwdhxkhw/edit?usp=sharing"",""ระยอง!J360"")"),7396)</f>
        <v>7396</v>
      </c>
      <c r="K465" s="202">
        <f t="shared" ca="1" si="117"/>
        <v>100.01352265043948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IFERROR(__xludf.DUMMYFUNCTION("IMPORTRANGE(""https://docs.google.com/spreadsheets/d/1SX6NBoVAgQJ6U1MVXOaj8PK2l7WJ3RER9xtqwdhxkhw/edit?usp=sharing"",""ระยอง!I361"")"),645)</f>
        <v>645</v>
      </c>
      <c r="J466" s="420">
        <f ca="1">IFERROR(__xludf.DUMMYFUNCTION("IMPORTRANGE(""https://docs.google.com/spreadsheets/d/1SX6NBoVAgQJ6U1MVXOaj8PK2l7WJ3RER9xtqwdhxkhw/edit?usp=sharing"",""ระยอง!J361"")"),645)</f>
        <v>645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IFERROR(__xludf.DUMMYFUNCTION("IMPORTRANGE(""https://docs.google.com/spreadsheets/d/1SX6NBoVAgQJ6U1MVXOaj8PK2l7WJ3RER9xtqwdhxkhw/edit?usp=sharing"",""ระยอง!I362"")"),0)</f>
        <v>0</v>
      </c>
      <c r="J467" s="189">
        <f ca="1">IFERROR(__xludf.DUMMYFUNCTION("IMPORTRANGE(""https://docs.google.com/spreadsheets/d/1SX6NBoVAgQJ6U1MVXOaj8PK2l7WJ3RER9xtqwdhxkhw/edit?usp=sharing"",""ระยอง!J362"")"),5753)</f>
        <v>5753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IFERROR(__xludf.DUMMYFUNCTION("IMPORTRANGE(""https://docs.google.com/spreadsheets/d/1SX6NBoVAgQJ6U1MVXOaj8PK2l7WJ3RER9xtqwdhxkhw/edit?usp=sharing"",""ระยอง!I363"")"),0)</f>
        <v>0</v>
      </c>
      <c r="J468" s="189">
        <f ca="1">IFERROR(__xludf.DUMMYFUNCTION("IMPORTRANGE(""https://docs.google.com/spreadsheets/d/1SX6NBoVAgQJ6U1MVXOaj8PK2l7WJ3RER9xtqwdhxkhw/edit?usp=sharing"",""ระยอง!J363"")"),528)</f>
        <v>528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IFERROR(__xludf.DUMMYFUNCTION("IMPORTRANGE(""https://docs.google.com/spreadsheets/d/1SX6NBoVAgQJ6U1MVXOaj8PK2l7WJ3RER9xtqwdhxkhw/edit?usp=sharing"",""ระยอง!I364"")"),0)</f>
        <v>0</v>
      </c>
      <c r="J469" s="189">
        <f ca="1">IFERROR(__xludf.DUMMYFUNCTION("IMPORTRANGE(""https://docs.google.com/spreadsheets/d/1SX6NBoVAgQJ6U1MVXOaj8PK2l7WJ3RER9xtqwdhxkhw/edit?usp=sharing"",""ระยอง!J364"")"),1488)</f>
        <v>1488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IFERROR(__xludf.DUMMYFUNCTION("IMPORTRANGE(""https://docs.google.com/spreadsheets/d/1SX6NBoVAgQJ6U1MVXOaj8PK2l7WJ3RER9xtqwdhxkhw/edit?usp=sharing"",""ระยอง!I365"")"),0)</f>
        <v>0</v>
      </c>
      <c r="J470" s="189">
        <f ca="1">IFERROR(__xludf.DUMMYFUNCTION("IMPORTRANGE(""https://docs.google.com/spreadsheets/d/1SX6NBoVAgQJ6U1MVXOaj8PK2l7WJ3RER9xtqwdhxkhw/edit?usp=sharing"",""ระยอง!J365"")"),103)</f>
        <v>103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IFERROR(__xludf.DUMMYFUNCTION("IMPORTRANGE(""https://docs.google.com/spreadsheets/d/1SX6NBoVAgQJ6U1MVXOaj8PK2l7WJ3RER9xtqwdhxkhw/edit?usp=sharing"",""ระยอง!I366"")"),0)</f>
        <v>0</v>
      </c>
      <c r="J471" s="189">
        <f ca="1">IFERROR(__xludf.DUMMYFUNCTION("IMPORTRANGE(""https://docs.google.com/spreadsheets/d/1SX6NBoVAgQJ6U1MVXOaj8PK2l7WJ3RER9xtqwdhxkhw/edit?usp=sharing"",""ระยอง!J366"")"),155)</f>
        <v>155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IFERROR(__xludf.DUMMYFUNCTION("IMPORTRANGE(""https://docs.google.com/spreadsheets/d/1SX6NBoVAgQJ6U1MVXOaj8PK2l7WJ3RER9xtqwdhxkhw/edit?usp=sharing"",""ระยอง!I367"")"),0)</f>
        <v>0</v>
      </c>
      <c r="J472" s="189">
        <f ca="1">IFERROR(__xludf.DUMMYFUNCTION("IMPORTRANGE(""https://docs.google.com/spreadsheets/d/1SX6NBoVAgQJ6U1MVXOaj8PK2l7WJ3RER9xtqwdhxkhw/edit?usp=sharing"",""ระยอง!J367"")"),14)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IFERROR(__xludf.DUMMYFUNCTION("IMPORTRANGE(""https://docs.google.com/spreadsheets/d/1SX6NBoVAgQJ6U1MVXOaj8PK2l7WJ3RER9xtqwdhxkhw/edit?usp=sharing"",""ระยอง!I368"")"),7395)</f>
        <v>7395</v>
      </c>
      <c r="J473" s="420">
        <f ca="1">IFERROR(__xludf.DUMMYFUNCTION("IMPORTRANGE(""https://docs.google.com/spreadsheets/d/1SX6NBoVAgQJ6U1MVXOaj8PK2l7WJ3RER9xtqwdhxkhw/edit?usp=sharing"",""ระยอง!J368"")"),7396)</f>
        <v>7396</v>
      </c>
      <c r="K473" s="202">
        <f t="shared" ca="1" si="117"/>
        <v>100.01352265043948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IFERROR(__xludf.DUMMYFUNCTION("IMPORTRANGE(""https://docs.google.com/spreadsheets/d/1SX6NBoVAgQJ6U1MVXOaj8PK2l7WJ3RER9xtqwdhxkhw/edit?usp=sharing"",""ระยอง!I369"")"),645)</f>
        <v>645</v>
      </c>
      <c r="J474" s="420">
        <f ca="1">IFERROR(__xludf.DUMMYFUNCTION("IMPORTRANGE(""https://docs.google.com/spreadsheets/d/1SX6NBoVAgQJ6U1MVXOaj8PK2l7WJ3RER9xtqwdhxkhw/edit?usp=sharing"",""ระยอง!J369"")"),645)</f>
        <v>645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IFERROR(__xludf.DUMMYFUNCTION("IMPORTRANGE(""https://docs.google.com/spreadsheets/d/1SX6NBoVAgQJ6U1MVXOaj8PK2l7WJ3RER9xtqwdhxkhw/edit?usp=sharing"",""ระยอง!I370"")"),0)</f>
        <v>0</v>
      </c>
      <c r="J475" s="189">
        <f ca="1">IFERROR(__xludf.DUMMYFUNCTION("IMPORTRANGE(""https://docs.google.com/spreadsheets/d/1SX6NBoVAgQJ6U1MVXOaj8PK2l7WJ3RER9xtqwdhxkhw/edit?usp=sharing"",""ระยอง!J370"")"),6092)</f>
        <v>6092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IFERROR(__xludf.DUMMYFUNCTION("IMPORTRANGE(""https://docs.google.com/spreadsheets/d/1SX6NBoVAgQJ6U1MVXOaj8PK2l7WJ3RER9xtqwdhxkhw/edit?usp=sharing"",""ระยอง!I371"")"),0)</f>
        <v>0</v>
      </c>
      <c r="J476" s="189">
        <f ca="1">IFERROR(__xludf.DUMMYFUNCTION("IMPORTRANGE(""https://docs.google.com/spreadsheets/d/1SX6NBoVAgQJ6U1MVXOaj8PK2l7WJ3RER9xtqwdhxkhw/edit?usp=sharing"",""ระยอง!J371"")"),551)</f>
        <v>551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IFERROR(__xludf.DUMMYFUNCTION("IMPORTRANGE(""https://docs.google.com/spreadsheets/d/1SX6NBoVAgQJ6U1MVXOaj8PK2l7WJ3RER9xtqwdhxkhw/edit?usp=sharing"",""ระยอง!I372"")"),0)</f>
        <v>0</v>
      </c>
      <c r="J477" s="189">
        <f ca="1">IFERROR(__xludf.DUMMYFUNCTION("IMPORTRANGE(""https://docs.google.com/spreadsheets/d/1SX6NBoVAgQJ6U1MVXOaj8PK2l7WJ3RER9xtqwdhxkhw/edit?usp=sharing"",""ระยอง!J372"")"),1149)</f>
        <v>1149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IFERROR(__xludf.DUMMYFUNCTION("IMPORTRANGE(""https://docs.google.com/spreadsheets/d/1SX6NBoVAgQJ6U1MVXOaj8PK2l7WJ3RER9xtqwdhxkhw/edit?usp=sharing"",""ระยอง!I373"")"),0)</f>
        <v>0</v>
      </c>
      <c r="J478" s="189">
        <f ca="1">IFERROR(__xludf.DUMMYFUNCTION("IMPORTRANGE(""https://docs.google.com/spreadsheets/d/1SX6NBoVAgQJ6U1MVXOaj8PK2l7WJ3RER9xtqwdhxkhw/edit?usp=sharing"",""ระยอง!J373"")"),80)</f>
        <v>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IFERROR(__xludf.DUMMYFUNCTION("IMPORTRANGE(""https://docs.google.com/spreadsheets/d/1SX6NBoVAgQJ6U1MVXOaj8PK2l7WJ3RER9xtqwdhxkhw/edit?usp=sharing"",""ระยอง!I374"")"),0)</f>
        <v>0</v>
      </c>
      <c r="J479" s="189">
        <f ca="1">IFERROR(__xludf.DUMMYFUNCTION("IMPORTRANGE(""https://docs.google.com/spreadsheets/d/1SX6NBoVAgQJ6U1MVXOaj8PK2l7WJ3RER9xtqwdhxkhw/edit?usp=sharing"",""ระยอง!J374"")"),155)</f>
        <v>155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IFERROR(__xludf.DUMMYFUNCTION("IMPORTRANGE(""https://docs.google.com/spreadsheets/d/1SX6NBoVAgQJ6U1MVXOaj8PK2l7WJ3RER9xtqwdhxkhw/edit?usp=sharing"",""ระยอง!I375"")"),0)</f>
        <v>0</v>
      </c>
      <c r="J480" s="189">
        <f ca="1">IFERROR(__xludf.DUMMYFUNCTION("IMPORTRANGE(""https://docs.google.com/spreadsheets/d/1SX6NBoVAgQJ6U1MVXOaj8PK2l7WJ3RER9xtqwdhxkhw/edit?usp=sharing"",""ระยอง!J375"")"),14)</f>
        <v>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IFERROR(__xludf.DUMMYFUNCTION("IMPORTRANGE(""https://docs.google.com/spreadsheets/d/1SX6NBoVAgQJ6U1MVXOaj8PK2l7WJ3RER9xtqwdhxkhw/edit?usp=sharing"",""ระยอง!I376"")"),7395)</f>
        <v>7395</v>
      </c>
      <c r="J481" s="420">
        <f ca="1">IFERROR(__xludf.DUMMYFUNCTION("IMPORTRANGE(""https://docs.google.com/spreadsheets/d/1SX6NBoVAgQJ6U1MVXOaj8PK2l7WJ3RER9xtqwdhxkhw/edit?usp=sharing"",""ระยอง!J376"")"),7396)</f>
        <v>7396</v>
      </c>
      <c r="K481" s="202">
        <f t="shared" ca="1" si="117"/>
        <v>100.01352265043948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IFERROR(__xludf.DUMMYFUNCTION("IMPORTRANGE(""https://docs.google.com/spreadsheets/d/1SX6NBoVAgQJ6U1MVXOaj8PK2l7WJ3RER9xtqwdhxkhw/edit?usp=sharing"",""ระยอง!I377"")"),645)</f>
        <v>645</v>
      </c>
      <c r="J482" s="420">
        <f ca="1">IFERROR(__xludf.DUMMYFUNCTION("IMPORTRANGE(""https://docs.google.com/spreadsheets/d/1SX6NBoVAgQJ6U1MVXOaj8PK2l7WJ3RER9xtqwdhxkhw/edit?usp=sharing"",""ระยอง!J377"")"),645)</f>
        <v>645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IFERROR(__xludf.DUMMYFUNCTION("IMPORTRANGE(""https://docs.google.com/spreadsheets/d/1SX6NBoVAgQJ6U1MVXOaj8PK2l7WJ3RER9xtqwdhxkhw/edit?usp=sharing"",""ระยอง!I378"")"),0)</f>
        <v>0</v>
      </c>
      <c r="J483" s="189">
        <f ca="1">IFERROR(__xludf.DUMMYFUNCTION("IMPORTRANGE(""https://docs.google.com/spreadsheets/d/1SX6NBoVAgQJ6U1MVXOaj8PK2l7WJ3RER9xtqwdhxkhw/edit?usp=sharing"",""ระยอง!J378"")"),6092)</f>
        <v>6092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IFERROR(__xludf.DUMMYFUNCTION("IMPORTRANGE(""https://docs.google.com/spreadsheets/d/1SX6NBoVAgQJ6U1MVXOaj8PK2l7WJ3RER9xtqwdhxkhw/edit?usp=sharing"",""ระยอง!I379"")"),0)</f>
        <v>0</v>
      </c>
      <c r="J484" s="189">
        <f ca="1">IFERROR(__xludf.DUMMYFUNCTION("IMPORTRANGE(""https://docs.google.com/spreadsheets/d/1SX6NBoVAgQJ6U1MVXOaj8PK2l7WJ3RER9xtqwdhxkhw/edit?usp=sharing"",""ระยอง!J379"")"),551)</f>
        <v>551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IFERROR(__xludf.DUMMYFUNCTION("IMPORTRANGE(""https://docs.google.com/spreadsheets/d/1SX6NBoVAgQJ6U1MVXOaj8PK2l7WJ3RER9xtqwdhxkhw/edit?usp=sharing"",""ระยอง!I380"")"),0)</f>
        <v>0</v>
      </c>
      <c r="J485" s="189">
        <f ca="1">IFERROR(__xludf.DUMMYFUNCTION("IMPORTRANGE(""https://docs.google.com/spreadsheets/d/1SX6NBoVAgQJ6U1MVXOaj8PK2l7WJ3RER9xtqwdhxkhw/edit?usp=sharing"",""ระยอง!J380"")"),1149)</f>
        <v>1149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IFERROR(__xludf.DUMMYFUNCTION("IMPORTRANGE(""https://docs.google.com/spreadsheets/d/1SX6NBoVAgQJ6U1MVXOaj8PK2l7WJ3RER9xtqwdhxkhw/edit?usp=sharing"",""ระยอง!I381"")"),0)</f>
        <v>0</v>
      </c>
      <c r="J486" s="189">
        <f ca="1">IFERROR(__xludf.DUMMYFUNCTION("IMPORTRANGE(""https://docs.google.com/spreadsheets/d/1SX6NBoVAgQJ6U1MVXOaj8PK2l7WJ3RER9xtqwdhxkhw/edit?usp=sharing"",""ระยอง!J381"")"),80)</f>
        <v>80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IFERROR(__xludf.DUMMYFUNCTION("IMPORTRANGE(""https://docs.google.com/spreadsheets/d/1SX6NBoVAgQJ6U1MVXOaj8PK2l7WJ3RER9xtqwdhxkhw/edit?usp=sharing"",""ระยอง!I382"")"),0)</f>
        <v>0</v>
      </c>
      <c r="J487" s="420">
        <f ca="1">IFERROR(__xludf.DUMMYFUNCTION("IMPORTRANGE(""https://docs.google.com/spreadsheets/d/1SX6NBoVAgQJ6U1MVXOaj8PK2l7WJ3RER9xtqwdhxkhw/edit?usp=sharing"",""ระยอง!J382"")"),155)</f>
        <v>155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IFERROR(__xludf.DUMMYFUNCTION("IMPORTRANGE(""https://docs.google.com/spreadsheets/d/1SX6NBoVAgQJ6U1MVXOaj8PK2l7WJ3RER9xtqwdhxkhw/edit?usp=sharing"",""ระยอง!I383"")"),0)</f>
        <v>0</v>
      </c>
      <c r="J488" s="420">
        <f ca="1">IFERROR(__xludf.DUMMYFUNCTION("IMPORTRANGE(""https://docs.google.com/spreadsheets/d/1SX6NBoVAgQJ6U1MVXOaj8PK2l7WJ3RER9xtqwdhxkhw/edit?usp=sharing"",""ระยอง!J383"")"),14)</f>
        <v>14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IFERROR(__xludf.DUMMYFUNCTION("IMPORTRANGE(""https://docs.google.com/spreadsheets/d/1SX6NBoVAgQJ6U1MVXOaj8PK2l7WJ3RER9xtqwdhxkhw/edit?usp=sharing"",""ระยอง!I384"")"),0)</f>
        <v>0</v>
      </c>
      <c r="J489" s="189">
        <f ca="1">IFERROR(__xludf.DUMMYFUNCTION("IMPORTRANGE(""https://docs.google.com/spreadsheets/d/1SX6NBoVAgQJ6U1MVXOaj8PK2l7WJ3RER9xtqwdhxkhw/edit?usp=sharing"",""ระยอง!J384"")"),155)</f>
        <v>155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IFERROR(__xludf.DUMMYFUNCTION("IMPORTRANGE(""https://docs.google.com/spreadsheets/d/1SX6NBoVAgQJ6U1MVXOaj8PK2l7WJ3RER9xtqwdhxkhw/edit?usp=sharing"",""ระยอง!I385"")"),0)</f>
        <v>0</v>
      </c>
      <c r="J490" s="189">
        <f ca="1">IFERROR(__xludf.DUMMYFUNCTION("IMPORTRANGE(""https://docs.google.com/spreadsheets/d/1SX6NBoVAgQJ6U1MVXOaj8PK2l7WJ3RER9xtqwdhxkhw/edit?usp=sharing"",""ระยอง!J385"")"),14)</f>
        <v>14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IFERROR(__xludf.DUMMYFUNCTION("IMPORTRANGE(""https://docs.google.com/spreadsheets/d/1SX6NBoVAgQJ6U1MVXOaj8PK2l7WJ3RER9xtqwdhxkhw/edit?usp=sharing"",""ระยอง!I386"")"),0)</f>
        <v>0</v>
      </c>
      <c r="J491" s="189">
        <f ca="1">IFERROR(__xludf.DUMMYFUNCTION("IMPORTRANGE(""https://docs.google.com/spreadsheets/d/1SX6NBoVAgQJ6U1MVXOaj8PK2l7WJ3RER9xtqwdhxkhw/edit?usp=sharing"",""ระยอง!J386"")"),0)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IFERROR(__xludf.DUMMYFUNCTION("IMPORTRANGE(""https://docs.google.com/spreadsheets/d/1SX6NBoVAgQJ6U1MVXOaj8PK2l7WJ3RER9xtqwdhxkhw/edit?usp=sharing"",""ระยอง!I387"")"),0)</f>
        <v>0</v>
      </c>
      <c r="J492" s="189">
        <f ca="1">IFERROR(__xludf.DUMMYFUNCTION("IMPORTRANGE(""https://docs.google.com/spreadsheets/d/1SX6NBoVAgQJ6U1MVXOaj8PK2l7WJ3RER9xtqwdhxkhw/edit?usp=sharing"",""ระยอง!J387"")"),0)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IFERROR(__xludf.DUMMYFUNCTION("IMPORTRANGE(""https://docs.google.com/spreadsheets/d/1SX6NBoVAgQJ6U1MVXOaj8PK2l7WJ3RER9xtqwdhxkhw/edit?usp=sharing"",""ระยอง!I388"")"),0)</f>
        <v>0</v>
      </c>
      <c r="J493" s="189">
        <f ca="1">IFERROR(__xludf.DUMMYFUNCTION("IMPORTRANGE(""https://docs.google.com/spreadsheets/d/1SX6NBoVAgQJ6U1MVXOaj8PK2l7WJ3RER9xtqwdhxkhw/edit?usp=sharing"",""ระยอง!J388"")"),0)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IFERROR(__xludf.DUMMYFUNCTION("IMPORTRANGE(""https://docs.google.com/spreadsheets/d/1SX6NBoVAgQJ6U1MVXOaj8PK2l7WJ3RER9xtqwdhxkhw/edit?usp=sharing"",""ระยอง!I389"")"),0)</f>
        <v>0</v>
      </c>
      <c r="J494" s="436">
        <f ca="1">IFERROR(__xludf.DUMMYFUNCTION("IMPORTRANGE(""https://docs.google.com/spreadsheets/d/1SX6NBoVAgQJ6U1MVXOaj8PK2l7WJ3RER9xtqwdhxkhw/edit?usp=sharing"",""ระยอง!J389"")"),0)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IFERROR(__xludf.DUMMYFUNCTION("IMPORTRANGE(""https://docs.google.com/spreadsheets/d/1SX6NBoVAgQJ6U1MVXOaj8PK2l7WJ3RER9xtqwdhxkhw/edit?usp=sharing"",""ระยอง!I390"")"),0)</f>
        <v>0</v>
      </c>
      <c r="J495" s="436">
        <f ca="1">IFERROR(__xludf.DUMMYFUNCTION("IMPORTRANGE(""https://docs.google.com/spreadsheets/d/1SX6NBoVAgQJ6U1MVXOaj8PK2l7WJ3RER9xtqwdhxkhw/edit?usp=sharing"",""ระยอง!J390"")"),0)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IFERROR(__xludf.DUMMYFUNCTION("IMPORTRANGE(""https://docs.google.com/spreadsheets/d/1SX6NBoVAgQJ6U1MVXOaj8PK2l7WJ3RER9xtqwdhxkhw/edit?usp=sharing"",""ระยอง!I391"")"),0)</f>
        <v>0</v>
      </c>
      <c r="J496" s="436">
        <f ca="1">IFERROR(__xludf.DUMMYFUNCTION("IMPORTRANGE(""https://docs.google.com/spreadsheets/d/1SX6NBoVAgQJ6U1MVXOaj8PK2l7WJ3RER9xtqwdhxkhw/edit?usp=sharing"",""ระยอง!J391"")"),0)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IFERROR(__xludf.DUMMYFUNCTION("IMPORTRANGE(""https://docs.google.com/spreadsheets/d/1SX6NBoVAgQJ6U1MVXOaj8PK2l7WJ3RER9xtqwdhxkhw/edit?usp=sharing"",""ระยอง!I392"")"),9)</f>
        <v>9</v>
      </c>
      <c r="J497" s="443">
        <f ca="1">IFERROR(__xludf.DUMMYFUNCTION("IMPORTRANGE(""https://docs.google.com/spreadsheets/d/1SX6NBoVAgQJ6U1MVXOaj8PK2l7WJ3RER9xtqwdhxkhw/edit?usp=sharing"",""ระยอง!J392"")"),0)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IFERROR(__xludf.DUMMYFUNCTION("IMPORTRANGE(""https://docs.google.com/spreadsheets/d/1SX6NBoVAgQJ6U1MVXOaj8PK2l7WJ3RER9xtqwdhxkhw/edit?usp=sharing"",""ระยอง!I393"")"),9)</f>
        <v>9</v>
      </c>
      <c r="J498" s="420">
        <f ca="1">IFERROR(__xludf.DUMMYFUNCTION("IMPORTRANGE(""https://docs.google.com/spreadsheets/d/1SX6NBoVAgQJ6U1MVXOaj8PK2l7WJ3RER9xtqwdhxkhw/edit?usp=sharing"",""ระยอง!J393"")"),0)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IFERROR(__xludf.DUMMYFUNCTION("IMPORTRANGE(""https://docs.google.com/spreadsheets/d/1SX6NBoVAgQJ6U1MVXOaj8PK2l7WJ3RER9xtqwdhxkhw/edit?usp=sharing"",""ระยอง!I394"")"),4)</f>
        <v>4</v>
      </c>
      <c r="J499" s="420">
        <f ca="1">IFERROR(__xludf.DUMMYFUNCTION("IMPORTRANGE(""https://docs.google.com/spreadsheets/d/1SX6NBoVAgQJ6U1MVXOaj8PK2l7WJ3RER9xtqwdhxkhw/edit?usp=sharing"",""ระยอง!J394"")"),0)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IFERROR(__xludf.DUMMYFUNCTION("IMPORTRANGE(""https://docs.google.com/spreadsheets/d/1SX6NBoVAgQJ6U1MVXOaj8PK2l7WJ3RER9xtqwdhxkhw/edit?usp=sharing"",""ระยอง!I395"")"),0)</f>
        <v>0</v>
      </c>
      <c r="J500" s="162">
        <f ca="1">IFERROR(__xludf.DUMMYFUNCTION("IMPORTRANGE(""https://docs.google.com/spreadsheets/d/1SX6NBoVAgQJ6U1MVXOaj8PK2l7WJ3RER9xtqwdhxkhw/edit?usp=sharing"",""ระยอง!J395"")"),0)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IFERROR(__xludf.DUMMYFUNCTION("IMPORTRANGE(""https://docs.google.com/spreadsheets/d/1SX6NBoVAgQJ6U1MVXOaj8PK2l7WJ3RER9xtqwdhxkhw/edit?usp=sharing"",""ระยอง!I396"")"),0)</f>
        <v>0</v>
      </c>
      <c r="J501" s="162">
        <f ca="1">IFERROR(__xludf.DUMMYFUNCTION("IMPORTRANGE(""https://docs.google.com/spreadsheets/d/1SX6NBoVAgQJ6U1MVXOaj8PK2l7WJ3RER9xtqwdhxkhw/edit?usp=sharing"",""ระยอง!J396"")"),0)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IFERROR(__xludf.DUMMYFUNCTION("IMPORTRANGE(""https://docs.google.com/spreadsheets/d/1SX6NBoVAgQJ6U1MVXOaj8PK2l7WJ3RER9xtqwdhxkhw/edit?usp=sharing"",""ระยอง!I397"")"),0)</f>
        <v>0</v>
      </c>
      <c r="J502" s="189">
        <f ca="1">IFERROR(__xludf.DUMMYFUNCTION("IMPORTRANGE(""https://docs.google.com/spreadsheets/d/1SX6NBoVAgQJ6U1MVXOaj8PK2l7WJ3RER9xtqwdhxkhw/edit?usp=sharing"",""ระยอง!J397"")"),0)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IFERROR(__xludf.DUMMYFUNCTION("IMPORTRANGE(""https://docs.google.com/spreadsheets/d/1SX6NBoVAgQJ6U1MVXOaj8PK2l7WJ3RER9xtqwdhxkhw/edit?usp=sharing"",""ระยอง!I398"")"),0)</f>
        <v>0</v>
      </c>
      <c r="J503" s="198">
        <f ca="1">IFERROR(__xludf.DUMMYFUNCTION("IMPORTRANGE(""https://docs.google.com/spreadsheets/d/1SX6NBoVAgQJ6U1MVXOaj8PK2l7WJ3RER9xtqwdhxkhw/edit?usp=sharing"",""ระยอง!J398"")"),0)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IFERROR(__xludf.DUMMYFUNCTION("IMPORTRANGE(""https://docs.google.com/spreadsheets/d/1SX6NBoVAgQJ6U1MVXOaj8PK2l7WJ3RER9xtqwdhxkhw/edit?usp=sharing"",""ระยอง!I399"")"),0)</f>
        <v>0</v>
      </c>
      <c r="J504" s="189">
        <f ca="1">IFERROR(__xludf.DUMMYFUNCTION("IMPORTRANGE(""https://docs.google.com/spreadsheets/d/1SX6NBoVAgQJ6U1MVXOaj8PK2l7WJ3RER9xtqwdhxkhw/edit?usp=sharing"",""ระยอง!J399"")"),0)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IFERROR(__xludf.DUMMYFUNCTION("IMPORTRANGE(""https://docs.google.com/spreadsheets/d/1SX6NBoVAgQJ6U1MVXOaj8PK2l7WJ3RER9xtqwdhxkhw/edit?usp=sharing"",""ระยอง!I400"")"),0)</f>
        <v>0</v>
      </c>
      <c r="J505" s="198">
        <f ca="1">IFERROR(__xludf.DUMMYFUNCTION("IMPORTRANGE(""https://docs.google.com/spreadsheets/d/1SX6NBoVAgQJ6U1MVXOaj8PK2l7WJ3RER9xtqwdhxkhw/edit?usp=sharing"",""ระยอง!J400"")"),0)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IFERROR(__xludf.DUMMYFUNCTION("IMPORTRANGE(""https://docs.google.com/spreadsheets/d/1SX6NBoVAgQJ6U1MVXOaj8PK2l7WJ3RER9xtqwdhxkhw/edit?usp=sharing"",""ระยอง!I401"")"),0)</f>
        <v>0</v>
      </c>
      <c r="J506" s="189">
        <f ca="1">IFERROR(__xludf.DUMMYFUNCTION("IMPORTRANGE(""https://docs.google.com/spreadsheets/d/1SX6NBoVAgQJ6U1MVXOaj8PK2l7WJ3RER9xtqwdhxkhw/edit?usp=sharing"",""ระยอง!J401"")"),0)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IFERROR(__xludf.DUMMYFUNCTION("IMPORTRANGE(""https://docs.google.com/spreadsheets/d/1SX6NBoVAgQJ6U1MVXOaj8PK2l7WJ3RER9xtqwdhxkhw/edit?usp=sharing"",""ระยอง!I402"")"),0)</f>
        <v>0</v>
      </c>
      <c r="J507" s="198">
        <f ca="1">IFERROR(__xludf.DUMMYFUNCTION("IMPORTRANGE(""https://docs.google.com/spreadsheets/d/1SX6NBoVAgQJ6U1MVXOaj8PK2l7WJ3RER9xtqwdhxkhw/edit?usp=sharing"",""ระยอง!J402"")"),0)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IFERROR(__xludf.DUMMYFUNCTION("IMPORTRANGE(""https://docs.google.com/spreadsheets/d/1SX6NBoVAgQJ6U1MVXOaj8PK2l7WJ3RER9xtqwdhxkhw/edit?usp=sharing"",""ระยอง!I403"")"),0)</f>
        <v>0</v>
      </c>
      <c r="J508" s="162">
        <f ca="1">IFERROR(__xludf.DUMMYFUNCTION("IMPORTRANGE(""https://docs.google.com/spreadsheets/d/1SX6NBoVAgQJ6U1MVXOaj8PK2l7WJ3RER9xtqwdhxkhw/edit?usp=sharing"",""ระยอง!J403"")"),0)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IFERROR(__xludf.DUMMYFUNCTION("IMPORTRANGE(""https://docs.google.com/spreadsheets/d/1SX6NBoVAgQJ6U1MVXOaj8PK2l7WJ3RER9xtqwdhxkhw/edit?usp=sharing"",""ระยอง!I404"")"),0)</f>
        <v>0</v>
      </c>
      <c r="J509" s="162">
        <f ca="1">IFERROR(__xludf.DUMMYFUNCTION("IMPORTRANGE(""https://docs.google.com/spreadsheets/d/1SX6NBoVAgQJ6U1MVXOaj8PK2l7WJ3RER9xtqwdhxkhw/edit?usp=sharing"",""ระยอง!J404"")"),0)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IFERROR(__xludf.DUMMYFUNCTION("IMPORTRANGE(""https://docs.google.com/spreadsheets/d/1SX6NBoVAgQJ6U1MVXOaj8PK2l7WJ3RER9xtqwdhxkhw/edit?usp=sharing"",""ระยอง!I405"")"),0)</f>
        <v>0</v>
      </c>
      <c r="J510" s="198">
        <f ca="1">IFERROR(__xludf.DUMMYFUNCTION("IMPORTRANGE(""https://docs.google.com/spreadsheets/d/1SX6NBoVAgQJ6U1MVXOaj8PK2l7WJ3RER9xtqwdhxkhw/edit?usp=sharing"",""ระยอง!J405"")"),0)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IFERROR(__xludf.DUMMYFUNCTION("IMPORTRANGE(""https://docs.google.com/spreadsheets/d/1SX6NBoVAgQJ6U1MVXOaj8PK2l7WJ3RER9xtqwdhxkhw/edit?usp=sharing"",""ระยอง!I406"")"),0)</f>
        <v>0</v>
      </c>
      <c r="J511" s="198">
        <f ca="1">IFERROR(__xludf.DUMMYFUNCTION("IMPORTRANGE(""https://docs.google.com/spreadsheets/d/1SX6NBoVAgQJ6U1MVXOaj8PK2l7WJ3RER9xtqwdhxkhw/edit?usp=sharing"",""ระยอง!J406"")"),0)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IFERROR(__xludf.DUMMYFUNCTION("IMPORTRANGE(""https://docs.google.com/spreadsheets/d/1SX6NBoVAgQJ6U1MVXOaj8PK2l7WJ3RER9xtqwdhxkhw/edit?usp=sharing"",""ระยอง!I407"")"),0)</f>
        <v>0</v>
      </c>
      <c r="J512" s="198">
        <f ca="1">IFERROR(__xludf.DUMMYFUNCTION("IMPORTRANGE(""https://docs.google.com/spreadsheets/d/1SX6NBoVAgQJ6U1MVXOaj8PK2l7WJ3RER9xtqwdhxkhw/edit?usp=sharing"",""ระยอง!J407"")"),0)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IFERROR(__xludf.DUMMYFUNCTION("IMPORTRANGE(""https://docs.google.com/spreadsheets/d/1SX6NBoVAgQJ6U1MVXOaj8PK2l7WJ3RER9xtqwdhxkhw/edit?usp=sharing"",""ระยอง!I408"")"),0)</f>
        <v>0</v>
      </c>
      <c r="J513" s="198">
        <f ca="1">IFERROR(__xludf.DUMMYFUNCTION("IMPORTRANGE(""https://docs.google.com/spreadsheets/d/1SX6NBoVAgQJ6U1MVXOaj8PK2l7WJ3RER9xtqwdhxkhw/edit?usp=sharing"",""ระยอง!J408"")"),0)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IFERROR(__xludf.DUMMYFUNCTION("IMPORTRANGE(""https://docs.google.com/spreadsheets/d/1SX6NBoVAgQJ6U1MVXOaj8PK2l7WJ3RER9xtqwdhxkhw/edit?usp=sharing"",""ระยอง!I409"")"),0)</f>
        <v>0</v>
      </c>
      <c r="J514" s="198">
        <f ca="1">IFERROR(__xludf.DUMMYFUNCTION("IMPORTRANGE(""https://docs.google.com/spreadsheets/d/1SX6NBoVAgQJ6U1MVXOaj8PK2l7WJ3RER9xtqwdhxkhw/edit?usp=sharing"",""ระยอง!J409"")"),0)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IFERROR(__xludf.DUMMYFUNCTION("IMPORTRANGE(""https://docs.google.com/spreadsheets/d/1SX6NBoVAgQJ6U1MVXOaj8PK2l7WJ3RER9xtqwdhxkhw/edit?usp=sharing"",""ระยอง!I410"")"),0)</f>
        <v>0</v>
      </c>
      <c r="J515" s="198">
        <f ca="1">IFERROR(__xludf.DUMMYFUNCTION("IMPORTRANGE(""https://docs.google.com/spreadsheets/d/1SX6NBoVAgQJ6U1MVXOaj8PK2l7WJ3RER9xtqwdhxkhw/edit?usp=sharing"",""ระยอง!J410"")"),0)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IFERROR(__xludf.DUMMYFUNCTION("IMPORTRANGE(""https://docs.google.com/spreadsheets/d/1SX6NBoVAgQJ6U1MVXOaj8PK2l7WJ3RER9xtqwdhxkhw/edit?usp=sharing"",""ระยอง!I411"")"),0)</f>
        <v>0</v>
      </c>
      <c r="J516" s="267">
        <f ca="1">IFERROR(__xludf.DUMMYFUNCTION("IMPORTRANGE(""https://docs.google.com/spreadsheets/d/1SX6NBoVAgQJ6U1MVXOaj8PK2l7WJ3RER9xtqwdhxkhw/edit?usp=sharing"",""ระยอง!J411"")"),0)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IFERROR(__xludf.DUMMYFUNCTION("IMPORTRANGE(""https://docs.google.com/spreadsheets/d/1SX6NBoVAgQJ6U1MVXOaj8PK2l7WJ3RER9xtqwdhxkhw/edit?usp=sharing"",""ระยอง!I412"")"),0)</f>
        <v>0</v>
      </c>
      <c r="J517" s="284">
        <f ca="1">IFERROR(__xludf.DUMMYFUNCTION("IMPORTRANGE(""https://docs.google.com/spreadsheets/d/1SX6NBoVAgQJ6U1MVXOaj8PK2l7WJ3RER9xtqwdhxkhw/edit?usp=sharing"",""ระยอง!J412"")"),0)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IFERROR(__xludf.DUMMYFUNCTION("IMPORTRANGE(""https://docs.google.com/spreadsheets/d/1SX6NBoVAgQJ6U1MVXOaj8PK2l7WJ3RER9xtqwdhxkhw/edit?usp=sharing"",""ระยอง!I413"")"),0)</f>
        <v>0</v>
      </c>
      <c r="J518" s="284">
        <f ca="1">IFERROR(__xludf.DUMMYFUNCTION("IMPORTRANGE(""https://docs.google.com/spreadsheets/d/1SX6NBoVAgQJ6U1MVXOaj8PK2l7WJ3RER9xtqwdhxkhw/edit?usp=sharing"",""ระยอง!J413"")"),0)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IFERROR(__xludf.DUMMYFUNCTION("IMPORTRANGE(""https://docs.google.com/spreadsheets/d/1SX6NBoVAgQJ6U1MVXOaj8PK2l7WJ3RER9xtqwdhxkhw/edit?usp=sharing"",""ระยอง!I414"")"),0)</f>
        <v>0</v>
      </c>
      <c r="J519" s="188">
        <f ca="1">IFERROR(__xludf.DUMMYFUNCTION("IMPORTRANGE(""https://docs.google.com/spreadsheets/d/1SX6NBoVAgQJ6U1MVXOaj8PK2l7WJ3RER9xtqwdhxkhw/edit?usp=sharing"",""ระยอง!J414"")"),0)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IFERROR(__xludf.DUMMYFUNCTION("IMPORTRANGE(""https://docs.google.com/spreadsheets/d/1SX6NBoVAgQJ6U1MVXOaj8PK2l7WJ3RER9xtqwdhxkhw/edit?usp=sharing"",""ระยอง!I415"")"),0)</f>
        <v>0</v>
      </c>
      <c r="J520" s="188">
        <f ca="1">IFERROR(__xludf.DUMMYFUNCTION("IMPORTRANGE(""https://docs.google.com/spreadsheets/d/1SX6NBoVAgQJ6U1MVXOaj8PK2l7WJ3RER9xtqwdhxkhw/edit?usp=sharing"",""ระยอง!J415"")"),0)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IFERROR(__xludf.DUMMYFUNCTION("IMPORTRANGE(""https://docs.google.com/spreadsheets/d/1SX6NBoVAgQJ6U1MVXOaj8PK2l7WJ3RER9xtqwdhxkhw/edit?usp=sharing"",""ระยอง!I416"")"),0)</f>
        <v>0</v>
      </c>
      <c r="J521" s="188">
        <f ca="1">IFERROR(__xludf.DUMMYFUNCTION("IMPORTRANGE(""https://docs.google.com/spreadsheets/d/1SX6NBoVAgQJ6U1MVXOaj8PK2l7WJ3RER9xtqwdhxkhw/edit?usp=sharing"",""ระยอง!J416"")"),0)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IFERROR(__xludf.DUMMYFUNCTION("IMPORTRANGE(""https://docs.google.com/spreadsheets/d/1SX6NBoVAgQJ6U1MVXOaj8PK2l7WJ3RER9xtqwdhxkhw/edit?usp=sharing"",""ระยอง!I417"")"),0)</f>
        <v>0</v>
      </c>
      <c r="J522" s="188">
        <f ca="1">IFERROR(__xludf.DUMMYFUNCTION("IMPORTRANGE(""https://docs.google.com/spreadsheets/d/1SX6NBoVAgQJ6U1MVXOaj8PK2l7WJ3RER9xtqwdhxkhw/edit?usp=sharing"",""ระยอง!J417"")"),0)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IFERROR(__xludf.DUMMYFUNCTION("IMPORTRANGE(""https://docs.google.com/spreadsheets/d/1SX6NBoVAgQJ6U1MVXOaj8PK2l7WJ3RER9xtqwdhxkhw/edit?usp=sharing"",""ระยอง!I418"")"),0)</f>
        <v>0</v>
      </c>
      <c r="J523" s="188">
        <f ca="1">IFERROR(__xludf.DUMMYFUNCTION("IMPORTRANGE(""https://docs.google.com/spreadsheets/d/1SX6NBoVAgQJ6U1MVXOaj8PK2l7WJ3RER9xtqwdhxkhw/edit?usp=sharing"",""ระยอง!J418"")"),0)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IFERROR(__xludf.DUMMYFUNCTION("IMPORTRANGE(""https://docs.google.com/spreadsheets/d/1SX6NBoVAgQJ6U1MVXOaj8PK2l7WJ3RER9xtqwdhxkhw/edit?usp=sharing"",""ระยอง!I419"")"),0)</f>
        <v>0</v>
      </c>
      <c r="J524" s="188">
        <f ca="1">IFERROR(__xludf.DUMMYFUNCTION("IMPORTRANGE(""https://docs.google.com/spreadsheets/d/1SX6NBoVAgQJ6U1MVXOaj8PK2l7WJ3RER9xtqwdhxkhw/edit?usp=sharing"",""ระยอง!J419"")"),0)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IFERROR(__xludf.DUMMYFUNCTION("IMPORTRANGE(""https://docs.google.com/spreadsheets/d/1SX6NBoVAgQJ6U1MVXOaj8PK2l7WJ3RER9xtqwdhxkhw/edit?usp=sharing"",""ระยอง!I420"")"),0)</f>
        <v>0</v>
      </c>
      <c r="J525" s="284">
        <f ca="1">IFERROR(__xludf.DUMMYFUNCTION("IMPORTRANGE(""https://docs.google.com/spreadsheets/d/1SX6NBoVAgQJ6U1MVXOaj8PK2l7WJ3RER9xtqwdhxkhw/edit?usp=sharing"",""ระยอง!J420"")"),0)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IFERROR(__xludf.DUMMYFUNCTION("IMPORTRANGE(""https://docs.google.com/spreadsheets/d/1SX6NBoVAgQJ6U1MVXOaj8PK2l7WJ3RER9xtqwdhxkhw/edit?usp=sharing"",""ระยอง!I421"")"),0)</f>
        <v>0</v>
      </c>
      <c r="J526" s="284">
        <f ca="1">IFERROR(__xludf.DUMMYFUNCTION("IMPORTRANGE(""https://docs.google.com/spreadsheets/d/1SX6NBoVAgQJ6U1MVXOaj8PK2l7WJ3RER9xtqwdhxkhw/edit?usp=sharing"",""ระยอง!J421"")"),0)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IFERROR(__xludf.DUMMYFUNCTION("IMPORTRANGE(""https://docs.google.com/spreadsheets/d/1SX6NBoVAgQJ6U1MVXOaj8PK2l7WJ3RER9xtqwdhxkhw/edit?usp=sharing"",""ระยอง!I422"")"),0)</f>
        <v>0</v>
      </c>
      <c r="J527" s="198">
        <f ca="1">IFERROR(__xludf.DUMMYFUNCTION("IMPORTRANGE(""https://docs.google.com/spreadsheets/d/1SX6NBoVAgQJ6U1MVXOaj8PK2l7WJ3RER9xtqwdhxkhw/edit?usp=sharing"",""ระยอง!J422"")"),0)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IFERROR(__xludf.DUMMYFUNCTION("IMPORTRANGE(""https://docs.google.com/spreadsheets/d/1SX6NBoVAgQJ6U1MVXOaj8PK2l7WJ3RER9xtqwdhxkhw/edit?usp=sharing"",""ระยอง!I423"")"),0)</f>
        <v>0</v>
      </c>
      <c r="J528" s="198">
        <f ca="1">IFERROR(__xludf.DUMMYFUNCTION("IMPORTRANGE(""https://docs.google.com/spreadsheets/d/1SX6NBoVAgQJ6U1MVXOaj8PK2l7WJ3RER9xtqwdhxkhw/edit?usp=sharing"",""ระยอง!J423"")"),0)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IFERROR(__xludf.DUMMYFUNCTION("IMPORTRANGE(""https://docs.google.com/spreadsheets/d/1SX6NBoVAgQJ6U1MVXOaj8PK2l7WJ3RER9xtqwdhxkhw/edit?usp=sharing"",""ระยอง!I424"")"),0)</f>
        <v>0</v>
      </c>
      <c r="J529" s="198">
        <f ca="1">IFERROR(__xludf.DUMMYFUNCTION("IMPORTRANGE(""https://docs.google.com/spreadsheets/d/1SX6NBoVAgQJ6U1MVXOaj8PK2l7WJ3RER9xtqwdhxkhw/edit?usp=sharing"",""ระยอง!J424"")"),0)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IFERROR(__xludf.DUMMYFUNCTION("IMPORTRANGE(""https://docs.google.com/spreadsheets/d/1SX6NBoVAgQJ6U1MVXOaj8PK2l7WJ3RER9xtqwdhxkhw/edit?usp=sharing"",""ระยอง!I425"")"),0)</f>
        <v>0</v>
      </c>
      <c r="J530" s="198">
        <f ca="1">IFERROR(__xludf.DUMMYFUNCTION("IMPORTRANGE(""https://docs.google.com/spreadsheets/d/1SX6NBoVAgQJ6U1MVXOaj8PK2l7WJ3RER9xtqwdhxkhw/edit?usp=sharing"",""ระยอง!J425"")"),0)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IFERROR(__xludf.DUMMYFUNCTION("IMPORTRANGE(""https://docs.google.com/spreadsheets/d/1SX6NBoVAgQJ6U1MVXOaj8PK2l7WJ3RER9xtqwdhxkhw/edit?usp=sharing"",""ระยอง!I426"")"),0)</f>
        <v>0</v>
      </c>
      <c r="J531" s="198">
        <f ca="1">IFERROR(__xludf.DUMMYFUNCTION("IMPORTRANGE(""https://docs.google.com/spreadsheets/d/1SX6NBoVAgQJ6U1MVXOaj8PK2l7WJ3RER9xtqwdhxkhw/edit?usp=sharing"",""ระยอง!J426"")"),0)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IFERROR(__xludf.DUMMYFUNCTION("IMPORTRANGE(""https://docs.google.com/spreadsheets/d/1SX6NBoVAgQJ6U1MVXOaj8PK2l7WJ3RER9xtqwdhxkhw/edit?usp=sharing"",""ระยอง!I427"")"),0)</f>
        <v>0</v>
      </c>
      <c r="J532" s="466">
        <f ca="1">IFERROR(__xludf.DUMMYFUNCTION("IMPORTRANGE(""https://docs.google.com/spreadsheets/d/1SX6NBoVAgQJ6U1MVXOaj8PK2l7WJ3RER9xtqwdhxkhw/edit?usp=sharing"",""ระยอง!J427"")"),0)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IFERROR(__xludf.DUMMYFUNCTION("IMPORTRANGE(""https://docs.google.com/spreadsheets/d/1SX6NBoVAgQJ6U1MVXOaj8PK2l7WJ3RER9xtqwdhxkhw/edit?usp=sharing"",""ระยอง!I428"")"),22)</f>
        <v>22</v>
      </c>
      <c r="J533" s="410">
        <f ca="1">IFERROR(__xludf.DUMMYFUNCTION("IMPORTRANGE(""https://docs.google.com/spreadsheets/d/1SX6NBoVAgQJ6U1MVXOaj8PK2l7WJ3RER9xtqwdhxkhw/edit?usp=sharing"",""ระยอง!J428"")"),22)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IFERROR(__xludf.DUMMYFUNCTION("IMPORTRANGE(""https://docs.google.com/spreadsheets/d/1SX6NBoVAgQJ6U1MVXOaj8PK2l7WJ3RER9xtqwdhxkhw/edit?usp=sharing"",""ระยอง!L428"")"),34340)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IFERROR(__xludf.DUMMYFUNCTION("IMPORTRANGE(""https://docs.google.com/spreadsheets/d/1SX6NBoVAgQJ6U1MVXOaj8PK2l7WJ3RER9xtqwdhxkhw/edit?usp=sharing"",""ระยอง!M428"")"),29070)</f>
        <v>29070</v>
      </c>
      <c r="O533" s="412">
        <f t="shared" ref="O533:O537" ca="1" si="118">+IF(L533&gt;0,N533*100/L533,0)</f>
        <v>84.653465346534659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IFERROR(__xludf.DUMMYFUNCTION("IMPORTRANGE(""https://docs.google.com/spreadsheets/d/1SX6NBoVAgQJ6U1MVXOaj8PK2l7WJ3RER9xtqwdhxkhw/edit?usp=sharing"",""ระยอง!L429"")"),0)</f>
        <v>0</v>
      </c>
      <c r="M534" s="164"/>
      <c r="N534" s="169">
        <f ca="1">IFERROR(__xludf.DUMMYFUNCTION("IMPORTRANGE(""https://docs.google.com/spreadsheets/d/1SX6NBoVAgQJ6U1MVXOaj8PK2l7WJ3RER9xtqwdhxkhw/edit?usp=sharing"",""ระยอง!M429"")"),0)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IFERROR(__xludf.DUMMYFUNCTION("IMPORTRANGE(""https://docs.google.com/spreadsheets/d/1SX6NBoVAgQJ6U1MVXOaj8PK2l7WJ3RER9xtqwdhxkhw/edit?usp=sharing"",""ระยอง!L430"")"),34340)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IFERROR(__xludf.DUMMYFUNCTION("IMPORTRANGE(""https://docs.google.com/spreadsheets/d/1SX6NBoVAgQJ6U1MVXOaj8PK2l7WJ3RER9xtqwdhxkhw/edit?usp=sharing"",""ระยอง!M430"")"),29070)</f>
        <v>29070</v>
      </c>
      <c r="O535" s="169">
        <f t="shared" ca="1" si="118"/>
        <v>84.653465346534659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IFERROR(__xludf.DUMMYFUNCTION("IMPORTRANGE(""https://docs.google.com/spreadsheets/d/1SX6NBoVAgQJ6U1MVXOaj8PK2l7WJ3RER9xtqwdhxkhw/edit?usp=sharing"",""ระยอง!L431"")"),0)</f>
        <v>0</v>
      </c>
      <c r="M536" s="169"/>
      <c r="N536" s="169">
        <f ca="1">IFERROR(__xludf.DUMMYFUNCTION("IMPORTRANGE(""https://docs.google.com/spreadsheets/d/1SX6NBoVAgQJ6U1MVXOaj8PK2l7WJ3RER9xtqwdhxkhw/edit?usp=sharing"",""ระยอง!M431"")"),0)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IFERROR(__xludf.DUMMYFUNCTION("IMPORTRANGE(""https://docs.google.com/spreadsheets/d/1SX6NBoVAgQJ6U1MVXOaj8PK2l7WJ3RER9xtqwdhxkhw/edit?usp=sharing"",""ระยอง!L432"")"),34340)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IFERROR(__xludf.DUMMYFUNCTION("IMPORTRANGE(""https://docs.google.com/spreadsheets/d/1SX6NBoVAgQJ6U1MVXOaj8PK2l7WJ3RER9xtqwdhxkhw/edit?usp=sharing"",""ระยอง!M432"")"),29070)</f>
        <v>29070</v>
      </c>
      <c r="O537" s="169">
        <f t="shared" ca="1" si="118"/>
        <v>84.653465346534659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IFERROR(__xludf.DUMMYFUNCTION("IMPORTRANGE(""https://docs.google.com/spreadsheets/d/1SX6NBoVAgQJ6U1MVXOaj8PK2l7WJ3RER9xtqwdhxkhw/edit?usp=sharing"",""ระยอง!M433"")"),21840)</f>
        <v>21840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IFERROR(__xludf.DUMMYFUNCTION("IMPORTRANGE(""https://docs.google.com/spreadsheets/d/1SX6NBoVAgQJ6U1MVXOaj8PK2l7WJ3RER9xtqwdhxkhw/edit?usp=sharing"",""ระยอง!M434"")"),0)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IFERROR(__xludf.DUMMYFUNCTION("IMPORTRANGE(""https://docs.google.com/spreadsheets/d/1SX6NBoVAgQJ6U1MVXOaj8PK2l7WJ3RER9xtqwdhxkhw/edit?usp=sharing"",""ระยอง!M435"")"),0)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IFERROR(__xludf.DUMMYFUNCTION("IMPORTRANGE(""https://docs.google.com/spreadsheets/d/1SX6NBoVAgQJ6U1MVXOaj8PK2l7WJ3RER9xtqwdhxkhw/edit?usp=sharing"",""ระยอง!M436"")"),7230)</f>
        <v>7230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IFERROR(__xludf.DUMMYFUNCTION("IMPORTRANGE(""https://docs.google.com/spreadsheets/d/1SX6NBoVAgQJ6U1MVXOaj8PK2l7WJ3RER9xtqwdhxkhw/edit?usp=sharing"",""ระยอง!J438"")"),0)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IFERROR(__xludf.DUMMYFUNCTION("IMPORTRANGE(""https://docs.google.com/spreadsheets/d/1SX6NBoVAgQJ6U1MVXOaj8PK2l7WJ3RER9xtqwdhxkhw/edit?usp=sharing"",""ระยอง!J439"")"),1)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IFERROR(__xludf.DUMMYFUNCTION("IMPORTRANGE(""https://docs.google.com/spreadsheets/d/1SX6NBoVAgQJ6U1MVXOaj8PK2l7WJ3RER9xtqwdhxkhw/edit?usp=sharing"",""ระยอง!J440"")"),1)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IFERROR(__xludf.DUMMYFUNCTION("IMPORTRANGE(""https://docs.google.com/spreadsheets/d/1SX6NBoVAgQJ6U1MVXOaj8PK2l7WJ3RER9xtqwdhxkhw/edit?usp=sharing"",""ระยอง!J441"")"),1)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IFERROR(__xludf.DUMMYFUNCTION("IMPORTRANGE(""https://docs.google.com/spreadsheets/d/1SX6NBoVAgQJ6U1MVXOaj8PK2l7WJ3RER9xtqwdhxkhw/edit?usp=sharing"",""ระยอง!I442"")"),22)</f>
        <v>22</v>
      </c>
      <c r="J547" s="189">
        <f ca="1">IFERROR(__xludf.DUMMYFUNCTION("IMPORTRANGE(""https://docs.google.com/spreadsheets/d/1SX6NBoVAgQJ6U1MVXOaj8PK2l7WJ3RER9xtqwdhxkhw/edit?usp=sharing"",""ระยอง!J442"")"),22)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IFERROR(__xludf.DUMMYFUNCTION("IMPORTRANGE(""https://docs.google.com/spreadsheets/d/1SX6NBoVAgQJ6U1MVXOaj8PK2l7WJ3RER9xtqwdhxkhw/edit?usp=sharing"",""ระยอง!J166"")"),0)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IFERROR(__xludf.DUMMYFUNCTION("IMPORTRANGE(""https://docs.google.com/spreadsheets/d/1SX6NBoVAgQJ6U1MVXOaj8PK2l7WJ3RER9xtqwdhxkhw/edit?usp=sharing"",""ระยอง!J444"")"),0)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IFERROR(__xludf.DUMMYFUNCTION("IMPORTRANGE(""https://docs.google.com/spreadsheets/d/1SX6NBoVAgQJ6U1MVXOaj8PK2l7WJ3RER9xtqwdhxkhw/edit?usp=sharing"",""ระยอง!J445"")"),0)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IFERROR(__xludf.DUMMYFUNCTION("IMPORTRANGE(""https://docs.google.com/spreadsheets/d/1SX6NBoVAgQJ6U1MVXOaj8PK2l7WJ3RER9xtqwdhxkhw/edit?usp=sharing"",""ระยอง!I446"")"),0)</f>
        <v>0</v>
      </c>
      <c r="J551" s="410">
        <f ca="1">IFERROR(__xludf.DUMMYFUNCTION("IMPORTRANGE(""https://docs.google.com/spreadsheets/d/1SX6NBoVAgQJ6U1MVXOaj8PK2l7WJ3RER9xtqwdhxkhw/edit?usp=sharing"",""ระยอง!J446"")"),0)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IFERROR(__xludf.DUMMYFUNCTION("IMPORTRANGE(""https://docs.google.com/spreadsheets/d/1SX6NBoVAgQJ6U1MVXOaj8PK2l7WJ3RER9xtqwdhxkhw/edit?usp=sharing"",""ระยอง!L446"")"),0)</f>
        <v>0</v>
      </c>
      <c r="M551" s="412"/>
      <c r="N551" s="412">
        <f ca="1">IFERROR(__xludf.DUMMYFUNCTION("IMPORTRANGE(""https://docs.google.com/spreadsheets/d/1SX6NBoVAgQJ6U1MVXOaj8PK2l7WJ3RER9xtqwdhxkhw/edit?usp=sharing"",""ระยอง!M446"")"),0)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IFERROR(__xludf.DUMMYFUNCTION("IMPORTRANGE(""https://docs.google.com/spreadsheets/d/1SX6NBoVAgQJ6U1MVXOaj8PK2l7WJ3RER9xtqwdhxkhw/edit?usp=sharing"",""ระยอง!L447"")"),0)</f>
        <v>0</v>
      </c>
      <c r="M552" s="164"/>
      <c r="N552" s="169">
        <f ca="1">IFERROR(__xludf.DUMMYFUNCTION("IMPORTRANGE(""https://docs.google.com/spreadsheets/d/1SX6NBoVAgQJ6U1MVXOaj8PK2l7WJ3RER9xtqwdhxkhw/edit?usp=sharing"",""ระยอง!M447"")"),0)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IFERROR(__xludf.DUMMYFUNCTION("IMPORTRANGE(""https://docs.google.com/spreadsheets/d/1SX6NBoVAgQJ6U1MVXOaj8PK2l7WJ3RER9xtqwdhxkhw/edit?usp=sharing"",""ระยอง!L448"")"),0)</f>
        <v>0</v>
      </c>
      <c r="M553" s="165"/>
      <c r="N553" s="169">
        <f ca="1">IFERROR(__xludf.DUMMYFUNCTION("IMPORTRANGE(""https://docs.google.com/spreadsheets/d/1SX6NBoVAgQJ6U1MVXOaj8PK2l7WJ3RER9xtqwdhxkhw/edit?usp=sharing"",""ระยอง!M448"")"),0)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IFERROR(__xludf.DUMMYFUNCTION("IMPORTRANGE(""https://docs.google.com/spreadsheets/d/1SX6NBoVAgQJ6U1MVXOaj8PK2l7WJ3RER9xtqwdhxkhw/edit?usp=sharing"",""ระยอง!L449"")"),0)</f>
        <v>0</v>
      </c>
      <c r="M554" s="169"/>
      <c r="N554" s="169">
        <f ca="1">IFERROR(__xludf.DUMMYFUNCTION("IMPORTRANGE(""https://docs.google.com/spreadsheets/d/1SX6NBoVAgQJ6U1MVXOaj8PK2l7WJ3RER9xtqwdhxkhw/edit?usp=sharing"",""ระยอง!M449"")"),0)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IFERROR(__xludf.DUMMYFUNCTION("IMPORTRANGE(""https://docs.google.com/spreadsheets/d/1SX6NBoVAgQJ6U1MVXOaj8PK2l7WJ3RER9xtqwdhxkhw/edit?usp=sharing"",""ระยอง!L450"")"),0)</f>
        <v>0</v>
      </c>
      <c r="M555" s="169"/>
      <c r="N555" s="169">
        <f ca="1">IFERROR(__xludf.DUMMYFUNCTION("IMPORTRANGE(""https://docs.google.com/spreadsheets/d/1SX6NBoVAgQJ6U1MVXOaj8PK2l7WJ3RER9xtqwdhxkhw/edit?usp=sharing"",""ระยอง!M450"")"),0)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IFERROR(__xludf.DUMMYFUNCTION("IMPORTRANGE(""https://docs.google.com/spreadsheets/d/1SX6NBoVAgQJ6U1MVXOaj8PK2l7WJ3RER9xtqwdhxkhw/edit?usp=sharing"",""ระยอง!M451"")"),0)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IFERROR(__xludf.DUMMYFUNCTION("IMPORTRANGE(""https://docs.google.com/spreadsheets/d/1SX6NBoVAgQJ6U1MVXOaj8PK2l7WJ3RER9xtqwdhxkhw/edit?usp=sharing"",""ระยอง!M452"")"),0)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IFERROR(__xludf.DUMMYFUNCTION("IMPORTRANGE(""https://docs.google.com/spreadsheets/d/1SX6NBoVAgQJ6U1MVXOaj8PK2l7WJ3RER9xtqwdhxkhw/edit?usp=sharing"",""ระยอง!M453"")"),0)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IFERROR(__xludf.DUMMYFUNCTION("IMPORTRANGE(""https://docs.google.com/spreadsheets/d/1SX6NBoVAgQJ6U1MVXOaj8PK2l7WJ3RER9xtqwdhxkhw/edit?usp=sharing"",""ระยอง!M454"")"),0)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IFERROR(__xludf.DUMMYFUNCTION("IMPORTRANGE(""https://docs.google.com/spreadsheets/d/1SX6NBoVAgQJ6U1MVXOaj8PK2l7WJ3RER9xtqwdhxkhw/edit?usp=sharing"",""ระยอง!I455"")"),0)</f>
        <v>0</v>
      </c>
      <c r="J560" s="162">
        <f ca="1">IFERROR(__xludf.DUMMYFUNCTION("IMPORTRANGE(""https://docs.google.com/spreadsheets/d/1SX6NBoVAgQJ6U1MVXOaj8PK2l7WJ3RER9xtqwdhxkhw/edit?usp=sharing"",""ระยอง!J455"")"),0)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IFERROR(__xludf.DUMMYFUNCTION("IMPORTRANGE(""https://docs.google.com/spreadsheets/d/1SX6NBoVAgQJ6U1MVXOaj8PK2l7WJ3RER9xtqwdhxkhw/edit?usp=sharing"",""ระยอง!I456"")"),0)</f>
        <v>0</v>
      </c>
      <c r="J561" s="204">
        <f ca="1">IFERROR(__xludf.DUMMYFUNCTION("IMPORTRANGE(""https://docs.google.com/spreadsheets/d/1SX6NBoVAgQJ6U1MVXOaj8PK2l7WJ3RER9xtqwdhxkhw/edit?usp=sharing"",""ระยอง!J456"")"),0)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IFERROR(__xludf.DUMMYFUNCTION("IMPORTRANGE(""https://docs.google.com/spreadsheets/d/1SX6NBoVAgQJ6U1MVXOaj8PK2l7WJ3RER9xtqwdhxkhw/edit?usp=sharing"",""ระยอง!I459"")"),200)</f>
        <v>200</v>
      </c>
      <c r="J564" s="371">
        <f ca="1">IFERROR(__xludf.DUMMYFUNCTION("IMPORTRANGE(""https://docs.google.com/spreadsheets/d/1SX6NBoVAgQJ6U1MVXOaj8PK2l7WJ3RER9xtqwdhxkhw/edit?usp=sharing"",""ระยอง!J459"")"),340)</f>
        <v>340</v>
      </c>
      <c r="K564" s="372">
        <f ca="1">IF(I564&gt;0,J564*100/I564,0)</f>
        <v>170</v>
      </c>
      <c r="L564" s="373">
        <f ca="1">IFERROR(__xludf.DUMMYFUNCTION("IMPORTRANGE(""https://docs.google.com/spreadsheets/d/1SX6NBoVAgQJ6U1MVXOaj8PK2l7WJ3RER9xtqwdhxkhw/edit?usp=sharing"",""ระยอง!L459"")"),120720)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IFERROR(__xludf.DUMMYFUNCTION("IMPORTRANGE(""https://docs.google.com/spreadsheets/d/1SX6NBoVAgQJ6U1MVXOaj8PK2l7WJ3RER9xtqwdhxkhw/edit?usp=sharing"",""ระยอง!M459"")"),34112)</f>
        <v>34112</v>
      </c>
      <c r="O564" s="373">
        <f t="shared" ref="O564:O568" ca="1" si="122">+IF(L564&gt;0,N564*100/L564,0)</f>
        <v>28.257123923127899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IFERROR(__xludf.DUMMYFUNCTION("IMPORTRANGE(""https://docs.google.com/spreadsheets/d/1SX6NBoVAgQJ6U1MVXOaj8PK2l7WJ3RER9xtqwdhxkhw/edit?usp=sharing"",""ระยอง!L460"")"),0)</f>
        <v>0</v>
      </c>
      <c r="M565" s="164"/>
      <c r="N565" s="169">
        <f ca="1">IFERROR(__xludf.DUMMYFUNCTION("IMPORTRANGE(""https://docs.google.com/spreadsheets/d/1SX6NBoVAgQJ6U1MVXOaj8PK2l7WJ3RER9xtqwdhxkhw/edit?usp=sharing"",""ระยอง!M460"")"),0)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IFERROR(__xludf.DUMMYFUNCTION("IMPORTRANGE(""https://docs.google.com/spreadsheets/d/1SX6NBoVAgQJ6U1MVXOaj8PK2l7WJ3RER9xtqwdhxkhw/edit?usp=sharing"",""ระยอง!L461"")"),120720)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IFERROR(__xludf.DUMMYFUNCTION("IMPORTRANGE(""https://docs.google.com/spreadsheets/d/1SX6NBoVAgQJ6U1MVXOaj8PK2l7WJ3RER9xtqwdhxkhw/edit?usp=sharing"",""ระยอง!M461"")"),34112)</f>
        <v>34112</v>
      </c>
      <c r="O566" s="169">
        <f t="shared" ca="1" si="122"/>
        <v>28.257123923127899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IFERROR(__xludf.DUMMYFUNCTION("IMPORTRANGE(""https://docs.google.com/spreadsheets/d/1SX6NBoVAgQJ6U1MVXOaj8PK2l7WJ3RER9xtqwdhxkhw/edit?usp=sharing"",""ระยอง!L462"")"),0)</f>
        <v>0</v>
      </c>
      <c r="M567" s="169"/>
      <c r="N567" s="169">
        <f ca="1">IFERROR(__xludf.DUMMYFUNCTION("IMPORTRANGE(""https://docs.google.com/spreadsheets/d/1SX6NBoVAgQJ6U1MVXOaj8PK2l7WJ3RER9xtqwdhxkhw/edit?usp=sharing"",""ระยอง!M462"")"),0)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IFERROR(__xludf.DUMMYFUNCTION("IMPORTRANGE(""https://docs.google.com/spreadsheets/d/1SX6NBoVAgQJ6U1MVXOaj8PK2l7WJ3RER9xtqwdhxkhw/edit?usp=sharing"",""ระยอง!L463"")"),120720)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IFERROR(__xludf.DUMMYFUNCTION("IMPORTRANGE(""https://docs.google.com/spreadsheets/d/1SX6NBoVAgQJ6U1MVXOaj8PK2l7WJ3RER9xtqwdhxkhw/edit?usp=sharing"",""ระยอง!M463"")"),34112)</f>
        <v>34112</v>
      </c>
      <c r="O568" s="169">
        <f t="shared" ca="1" si="122"/>
        <v>28.257123923127899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IFERROR(__xludf.DUMMYFUNCTION("IMPORTRANGE(""https://docs.google.com/spreadsheets/d/1SX6NBoVAgQJ6U1MVXOaj8PK2l7WJ3RER9xtqwdhxkhw/edit?usp=sharing"",""ระยอง!M464"")"),0)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IFERROR(__xludf.DUMMYFUNCTION("IMPORTRANGE(""https://docs.google.com/spreadsheets/d/1SX6NBoVAgQJ6U1MVXOaj8PK2l7WJ3RER9xtqwdhxkhw/edit?usp=sharing"",""ระยอง!M465"")"),0)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IFERROR(__xludf.DUMMYFUNCTION("IMPORTRANGE(""https://docs.google.com/spreadsheets/d/1SX6NBoVAgQJ6U1MVXOaj8PK2l7WJ3RER9xtqwdhxkhw/edit?usp=sharing"",""ระยอง!M466"")"),0)</f>
        <v>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IFERROR(__xludf.DUMMYFUNCTION("IMPORTRANGE(""https://docs.google.com/spreadsheets/d/1SX6NBoVAgQJ6U1MVXOaj8PK2l7WJ3RER9xtqwdhxkhw/edit?usp=sharing"",""ระยอง!M467"")"),34112)</f>
        <v>34112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IFERROR(__xludf.DUMMYFUNCTION("IMPORTRANGE(""https://docs.google.com/spreadsheets/d/1SX6NBoVAgQJ6U1MVXOaj8PK2l7WJ3RER9xtqwdhxkhw/edit?usp=sharing"",""ระยอง!I468"")"),200)</f>
        <v>200</v>
      </c>
      <c r="J573" s="420">
        <f ca="1">IFERROR(__xludf.DUMMYFUNCTION("IMPORTRANGE(""https://docs.google.com/spreadsheets/d/1SX6NBoVAgQJ6U1MVXOaj8PK2l7WJ3RER9xtqwdhxkhw/edit?usp=sharing"",""ระยอง!J468"")"),340)</f>
        <v>340</v>
      </c>
      <c r="K573" s="202">
        <f ca="1">IF(I573&gt;0,J573*100/I573,0)</f>
        <v>170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IFERROR(__xludf.DUMMYFUNCTION("IMPORTRANGE(""https://docs.google.com/spreadsheets/d/1SX6NBoVAgQJ6U1MVXOaj8PK2l7WJ3RER9xtqwdhxkhw/edit?usp=sharing"",""ระยอง!I470"")"),0)</f>
        <v>0</v>
      </c>
      <c r="J575" s="198">
        <f ca="1">IFERROR(__xludf.DUMMYFUNCTION("IMPORTRANGE(""https://docs.google.com/spreadsheets/d/1SX6NBoVAgQJ6U1MVXOaj8PK2l7WJ3RER9xtqwdhxkhw/edit?usp=sharing"",""ระยอง!J470"")"),2)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IFERROR(__xludf.DUMMYFUNCTION("IMPORTRANGE(""https://docs.google.com/spreadsheets/d/1SX6NBoVAgQJ6U1MVXOaj8PK2l7WJ3RER9xtqwdhxkhw/edit?usp=sharing"",""ระยอง!I471"")"),0)</f>
        <v>0</v>
      </c>
      <c r="J576" s="198">
        <f ca="1">IFERROR(__xludf.DUMMYFUNCTION("IMPORTRANGE(""https://docs.google.com/spreadsheets/d/1SX6NBoVAgQJ6U1MVXOaj8PK2l7WJ3RER9xtqwdhxkhw/edit?usp=sharing"",""ระยอง!J471"")"),100)</f>
        <v>100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IFERROR(__xludf.DUMMYFUNCTION("IMPORTRANGE(""https://docs.google.com/spreadsheets/d/1SX6NBoVAgQJ6U1MVXOaj8PK2l7WJ3RER9xtqwdhxkhw/edit?usp=sharing"",""ระยอง!I472"")"),0)</f>
        <v>0</v>
      </c>
      <c r="J577" s="189">
        <f ca="1">IFERROR(__xludf.DUMMYFUNCTION("IMPORTRANGE(""https://docs.google.com/spreadsheets/d/1SX6NBoVAgQJ6U1MVXOaj8PK2l7WJ3RER9xtqwdhxkhw/edit?usp=sharing"",""ระยอง!J472"")"),160)</f>
        <v>160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IFERROR(__xludf.DUMMYFUNCTION("IMPORTRANGE(""https://docs.google.com/spreadsheets/d/1SX6NBoVAgQJ6U1MVXOaj8PK2l7WJ3RER9xtqwdhxkhw/edit?usp=sharing"",""ระยอง!I473"")"),0)</f>
        <v>0</v>
      </c>
      <c r="J578" s="198">
        <f ca="1">IFERROR(__xludf.DUMMYFUNCTION("IMPORTRANGE(""https://docs.google.com/spreadsheets/d/1SX6NBoVAgQJ6U1MVXOaj8PK2l7WJ3RER9xtqwdhxkhw/edit?usp=sharing"",""ระยอง!J473"")"),0)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IFERROR(__xludf.DUMMYFUNCTION("IMPORTRANGE(""https://docs.google.com/spreadsheets/d/1SX6NBoVAgQJ6U1MVXOaj8PK2l7WJ3RER9xtqwdhxkhw/edit?usp=sharing"",""ระยอง!I474"")"),0)</f>
        <v>0</v>
      </c>
      <c r="J579" s="198">
        <f ca="1">IFERROR(__xludf.DUMMYFUNCTION("IMPORTRANGE(""https://docs.google.com/spreadsheets/d/1SX6NBoVAgQJ6U1MVXOaj8PK2l7WJ3RER9xtqwdhxkhw/edit?usp=sharing"",""ระยอง!J474"")"),80)</f>
        <v>80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IFERROR(__xludf.DUMMYFUNCTION("IMPORTRANGE(""https://docs.google.com/spreadsheets/d/1SX6NBoVAgQJ6U1MVXOaj8PK2l7WJ3RER9xtqwdhxkhw/edit?usp=sharing"",""ระยอง!I475"")"),0)</f>
        <v>0</v>
      </c>
      <c r="J580" s="371">
        <f ca="1">IFERROR(__xludf.DUMMYFUNCTION("IMPORTRANGE(""https://docs.google.com/spreadsheets/d/1SX6NBoVAgQJ6U1MVXOaj8PK2l7WJ3RER9xtqwdhxkhw/edit?usp=sharing"",""ระยอง!J475"")"),0)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IFERROR(__xludf.DUMMYFUNCTION("IMPORTRANGE(""https://docs.google.com/spreadsheets/d/1SX6NBoVAgQJ6U1MVXOaj8PK2l7WJ3RER9xtqwdhxkhw/edit?usp=sharing"",""ระยอง!L475"")"),92960)</f>
        <v>92960</v>
      </c>
      <c r="M580" s="373"/>
      <c r="N580" s="373">
        <f ca="1">IFERROR(__xludf.DUMMYFUNCTION("IMPORTRANGE(""https://docs.google.com/spreadsheets/d/1SX6NBoVAgQJ6U1MVXOaj8PK2l7WJ3RER9xtqwdhxkhw/edit?usp=sharing"",""ระยอง!M475"")"),0)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IFERROR(__xludf.DUMMYFUNCTION("IMPORTRANGE(""https://docs.google.com/spreadsheets/d/1SX6NBoVAgQJ6U1MVXOaj8PK2l7WJ3RER9xtqwdhxkhw/edit?usp=sharing"",""ระยอง!L476"")"),0)</f>
        <v>0</v>
      </c>
      <c r="M581" s="164"/>
      <c r="N581" s="169">
        <f ca="1">IFERROR(__xludf.DUMMYFUNCTION("IMPORTRANGE(""https://docs.google.com/spreadsheets/d/1SX6NBoVAgQJ6U1MVXOaj8PK2l7WJ3RER9xtqwdhxkhw/edit?usp=sharing"",""ระยอง!M476"")"),0)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IFERROR(__xludf.DUMMYFUNCTION("IMPORTRANGE(""https://docs.google.com/spreadsheets/d/1SX6NBoVAgQJ6U1MVXOaj8PK2l7WJ3RER9xtqwdhxkhw/edit?usp=sharing"",""ระยอง!L477"")"),92960)</f>
        <v>92960</v>
      </c>
      <c r="M582" s="165"/>
      <c r="N582" s="169">
        <f ca="1">IFERROR(__xludf.DUMMYFUNCTION("IMPORTRANGE(""https://docs.google.com/spreadsheets/d/1SX6NBoVAgQJ6U1MVXOaj8PK2l7WJ3RER9xtqwdhxkhw/edit?usp=sharing"",""ระยอง!M477"")"),0)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IFERROR(__xludf.DUMMYFUNCTION("IMPORTRANGE(""https://docs.google.com/spreadsheets/d/1SX6NBoVAgQJ6U1MVXOaj8PK2l7WJ3RER9xtqwdhxkhw/edit?usp=sharing"",""ระยอง!L478"")"),0)</f>
        <v>0</v>
      </c>
      <c r="M583" s="169"/>
      <c r="N583" s="169">
        <f ca="1">IFERROR(__xludf.DUMMYFUNCTION("IMPORTRANGE(""https://docs.google.com/spreadsheets/d/1SX6NBoVAgQJ6U1MVXOaj8PK2l7WJ3RER9xtqwdhxkhw/edit?usp=sharing"",""ระยอง!M478"")"),0)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IFERROR(__xludf.DUMMYFUNCTION("IMPORTRANGE(""https://docs.google.com/spreadsheets/d/1SX6NBoVAgQJ6U1MVXOaj8PK2l7WJ3RER9xtqwdhxkhw/edit?usp=sharing"",""ระยอง!L479"")"),92960)</f>
        <v>92960</v>
      </c>
      <c r="M584" s="169"/>
      <c r="N584" s="169">
        <f ca="1">IFERROR(__xludf.DUMMYFUNCTION("IMPORTRANGE(""https://docs.google.com/spreadsheets/d/1SX6NBoVAgQJ6U1MVXOaj8PK2l7WJ3RER9xtqwdhxkhw/edit?usp=sharing"",""ระยอง!M479"")"),0)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IFERROR(__xludf.DUMMYFUNCTION("IMPORTRANGE(""https://docs.google.com/spreadsheets/d/1SX6NBoVAgQJ6U1MVXOaj8PK2l7WJ3RER9xtqwdhxkhw/edit?usp=sharing"",""ระยอง!M480"")"),0)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IFERROR(__xludf.DUMMYFUNCTION("IMPORTRANGE(""https://docs.google.com/spreadsheets/d/1SX6NBoVAgQJ6U1MVXOaj8PK2l7WJ3RER9xtqwdhxkhw/edit?usp=sharing"",""ระยอง!M481"")"),0)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IFERROR(__xludf.DUMMYFUNCTION("IMPORTRANGE(""https://docs.google.com/spreadsheets/d/1SX6NBoVAgQJ6U1MVXOaj8PK2l7WJ3RER9xtqwdhxkhw/edit?usp=sharing"",""ระยอง!M482"")"),0)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IFERROR(__xludf.DUMMYFUNCTION("IMPORTRANGE(""https://docs.google.com/spreadsheets/d/1SX6NBoVAgQJ6U1MVXOaj8PK2l7WJ3RER9xtqwdhxkhw/edit?usp=sharing"",""ระยอง!M483"")"),0)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IFERROR(__xludf.DUMMYFUNCTION("IMPORTRANGE(""https://docs.google.com/spreadsheets/d/1SX6NBoVAgQJ6U1MVXOaj8PK2l7WJ3RER9xtqwdhxkhw/edit?usp=sharing"",""ระยอง!I484"")"),0)</f>
        <v>0</v>
      </c>
      <c r="J589" s="188">
        <f ca="1">IFERROR(__xludf.DUMMYFUNCTION("IMPORTRANGE(""https://docs.google.com/spreadsheets/d/1SX6NBoVAgQJ6U1MVXOaj8PK2l7WJ3RER9xtqwdhxkhw/edit?usp=sharing"",""ระยอง!J484"")"),1)</f>
        <v>1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IFERROR(__xludf.DUMMYFUNCTION("IMPORTRANGE(""https://docs.google.com/spreadsheets/d/1SX6NBoVAgQJ6U1MVXOaj8PK2l7WJ3RER9xtqwdhxkhw/edit?usp=sharing"",""ระยอง!I485"")"),0)</f>
        <v>0</v>
      </c>
      <c r="J590" s="188">
        <f ca="1">IFERROR(__xludf.DUMMYFUNCTION("IMPORTRANGE(""https://docs.google.com/spreadsheets/d/1SX6NBoVAgQJ6U1MVXOaj8PK2l7WJ3RER9xtqwdhxkhw/edit?usp=sharing"",""ระยอง!J485"")"),1.36)</f>
        <v>1.36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IFERROR(__xludf.DUMMYFUNCTION("IMPORTRANGE(""https://docs.google.com/spreadsheets/d/1SX6NBoVAgQJ6U1MVXOaj8PK2l7WJ3RER9xtqwdhxkhw/edit?usp=sharing"",""ระยอง!I486"")"),0)</f>
        <v>0</v>
      </c>
      <c r="J591" s="188">
        <f ca="1">IFERROR(__xludf.DUMMYFUNCTION("IMPORTRANGE(""https://docs.google.com/spreadsheets/d/1SX6NBoVAgQJ6U1MVXOaj8PK2l7WJ3RER9xtqwdhxkhw/edit?usp=sharing"",""ระยอง!J486"")"),0)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IFERROR(__xludf.DUMMYFUNCTION("IMPORTRANGE(""https://docs.google.com/spreadsheets/d/1SX6NBoVAgQJ6U1MVXOaj8PK2l7WJ3RER9xtqwdhxkhw/edit?usp=sharing"",""ระยอง!I487"")"),0)</f>
        <v>0</v>
      </c>
      <c r="J592" s="188">
        <f ca="1">IFERROR(__xludf.DUMMYFUNCTION("IMPORTRANGE(""https://docs.google.com/spreadsheets/d/1SX6NBoVAgQJ6U1MVXOaj8PK2l7WJ3RER9xtqwdhxkhw/edit?usp=sharing"",""ระยอง!J487"")"),0)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IFERROR(__xludf.DUMMYFUNCTION("IMPORTRANGE(""https://docs.google.com/spreadsheets/d/1SX6NBoVAgQJ6U1MVXOaj8PK2l7WJ3RER9xtqwdhxkhw/edit?usp=sharing"",""ระยอง!I488"")"),0)</f>
        <v>0</v>
      </c>
      <c r="J593" s="188">
        <f ca="1">IFERROR(__xludf.DUMMYFUNCTION("IMPORTRANGE(""https://docs.google.com/spreadsheets/d/1SX6NBoVAgQJ6U1MVXOaj8PK2l7WJ3RER9xtqwdhxkhw/edit?usp=sharing"",""ระยอง!J488"")"),0)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IFERROR(__xludf.DUMMYFUNCTION("IMPORTRANGE(""https://docs.google.com/spreadsheets/d/1SX6NBoVAgQJ6U1MVXOaj8PK2l7WJ3RER9xtqwdhxkhw/edit?usp=sharing"",""ระยอง!I489"")"),0)</f>
        <v>0</v>
      </c>
      <c r="J594" s="188">
        <f ca="1">IFERROR(__xludf.DUMMYFUNCTION("IMPORTRANGE(""https://docs.google.com/spreadsheets/d/1SX6NBoVAgQJ6U1MVXOaj8PK2l7WJ3RER9xtqwdhxkhw/edit?usp=sharing"",""ระยอง!J489"")"),0)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IFERROR(__xludf.DUMMYFUNCTION("IMPORTRANGE(""https://docs.google.com/spreadsheets/d/1SX6NBoVAgQJ6U1MVXOaj8PK2l7WJ3RER9xtqwdhxkhw/edit?usp=sharing"",""ระยอง!I490"")"),0)</f>
        <v>0</v>
      </c>
      <c r="J595" s="188">
        <f ca="1">IFERROR(__xludf.DUMMYFUNCTION("IMPORTRANGE(""https://docs.google.com/spreadsheets/d/1SX6NBoVAgQJ6U1MVXOaj8PK2l7WJ3RER9xtqwdhxkhw/edit?usp=sharing"",""ระยอง!J490"")"),0)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IFERROR(__xludf.DUMMYFUNCTION("IMPORTRANGE(""https://docs.google.com/spreadsheets/d/1SX6NBoVAgQJ6U1MVXOaj8PK2l7WJ3RER9xtqwdhxkhw/edit?usp=sharing"",""ระยอง!I491"")"),0)</f>
        <v>0</v>
      </c>
      <c r="J596" s="241">
        <f ca="1">IFERROR(__xludf.DUMMYFUNCTION("IMPORTRANGE(""https://docs.google.com/spreadsheets/d/1SX6NBoVAgQJ6U1MVXOaj8PK2l7WJ3RER9xtqwdhxkhw/edit?usp=sharing"",""ระยอง!J491"")"),0)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IFERROR(__xludf.DUMMYFUNCTION("IMPORTRANGE(""https://docs.google.com/spreadsheets/d/1SX6NBoVAgQJ6U1MVXOaj8PK2l7WJ3RER9xtqwdhxkhw/edit?usp=sharing"",""ระยอง!I492"")"),50)</f>
        <v>50</v>
      </c>
      <c r="J597" s="487">
        <f ca="1">IFERROR(__xludf.DUMMYFUNCTION("IMPORTRANGE(""https://docs.google.com/spreadsheets/d/1SX6NBoVAgQJ6U1MVXOaj8PK2l7WJ3RER9xtqwdhxkhw/edit?usp=sharing"",""ระยอง!J492"")"),0)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IFERROR(__xludf.DUMMYFUNCTION("IMPORTRANGE(""https://docs.google.com/spreadsheets/d/1SX6NBoVAgQJ6U1MVXOaj8PK2l7WJ3RER9xtqwdhxkhw/edit?usp=sharing"",""ระยอง!L492"")"),4550)</f>
        <v>4550</v>
      </c>
      <c r="M597" s="412"/>
      <c r="N597" s="412">
        <f ca="1">IFERROR(__xludf.DUMMYFUNCTION("IMPORTRANGE(""https://docs.google.com/spreadsheets/d/1SX6NBoVAgQJ6U1MVXOaj8PK2l7WJ3RER9xtqwdhxkhw/edit?usp=sharing"",""ระยอง!M492"")"),1300)</f>
        <v>1300</v>
      </c>
      <c r="O597" s="412">
        <f t="shared" ref="O597:O601" ca="1" si="126">+IF(L597&gt;0,N597*100/L597,0)</f>
        <v>28.571428571428573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IFERROR(__xludf.DUMMYFUNCTION("IMPORTRANGE(""https://docs.google.com/spreadsheets/d/1SX6NBoVAgQJ6U1MVXOaj8PK2l7WJ3RER9xtqwdhxkhw/edit?usp=sharing"",""ระยอง!L493"")"),0)</f>
        <v>0</v>
      </c>
      <c r="M598" s="164"/>
      <c r="N598" s="169">
        <f ca="1">IFERROR(__xludf.DUMMYFUNCTION("IMPORTRANGE(""https://docs.google.com/spreadsheets/d/1SX6NBoVAgQJ6U1MVXOaj8PK2l7WJ3RER9xtqwdhxkhw/edit?usp=sharing"",""ระยอง!M493"")"),0)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IFERROR(__xludf.DUMMYFUNCTION("IMPORTRANGE(""https://docs.google.com/spreadsheets/d/1SX6NBoVAgQJ6U1MVXOaj8PK2l7WJ3RER9xtqwdhxkhw/edit?usp=sharing"",""ระยอง!L494"")"),4550)</f>
        <v>4550</v>
      </c>
      <c r="M599" s="165"/>
      <c r="N599" s="169">
        <f ca="1">IFERROR(__xludf.DUMMYFUNCTION("IMPORTRANGE(""https://docs.google.com/spreadsheets/d/1SX6NBoVAgQJ6U1MVXOaj8PK2l7WJ3RER9xtqwdhxkhw/edit?usp=sharing"",""ระยอง!M494"")"),1300)</f>
        <v>1300</v>
      </c>
      <c r="O599" s="169">
        <f t="shared" ca="1" si="126"/>
        <v>28.571428571428573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IFERROR(__xludf.DUMMYFUNCTION("IMPORTRANGE(""https://docs.google.com/spreadsheets/d/1SX6NBoVAgQJ6U1MVXOaj8PK2l7WJ3RER9xtqwdhxkhw/edit?usp=sharing"",""ระยอง!L495"")"),0)</f>
        <v>0</v>
      </c>
      <c r="M600" s="169"/>
      <c r="N600" s="169">
        <f ca="1">IFERROR(__xludf.DUMMYFUNCTION("IMPORTRANGE(""https://docs.google.com/spreadsheets/d/1SX6NBoVAgQJ6U1MVXOaj8PK2l7WJ3RER9xtqwdhxkhw/edit?usp=sharing"",""ระยอง!M495"")"),0)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IFERROR(__xludf.DUMMYFUNCTION("IMPORTRANGE(""https://docs.google.com/spreadsheets/d/1SX6NBoVAgQJ6U1MVXOaj8PK2l7WJ3RER9xtqwdhxkhw/edit?usp=sharing"",""ระยอง!L496"")"),4550)</f>
        <v>4550</v>
      </c>
      <c r="M601" s="169"/>
      <c r="N601" s="169">
        <f ca="1">IFERROR(__xludf.DUMMYFUNCTION("IMPORTRANGE(""https://docs.google.com/spreadsheets/d/1SX6NBoVAgQJ6U1MVXOaj8PK2l7WJ3RER9xtqwdhxkhw/edit?usp=sharing"",""ระยอง!M496"")"),1300)</f>
        <v>1300</v>
      </c>
      <c r="O601" s="169">
        <f t="shared" ca="1" si="126"/>
        <v>28.571428571428573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IFERROR(__xludf.DUMMYFUNCTION("IMPORTRANGE(""https://docs.google.com/spreadsheets/d/1SX6NBoVAgQJ6U1MVXOaj8PK2l7WJ3RER9xtqwdhxkhw/edit?usp=sharing"",""ระยอง!M497"")"),0)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IFERROR(__xludf.DUMMYFUNCTION("IMPORTRANGE(""https://docs.google.com/spreadsheets/d/1SX6NBoVAgQJ6U1MVXOaj8PK2l7WJ3RER9xtqwdhxkhw/edit?usp=sharing"",""ระยอง!M498"")"),0)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IFERROR(__xludf.DUMMYFUNCTION("IMPORTRANGE(""https://docs.google.com/spreadsheets/d/1SX6NBoVAgQJ6U1MVXOaj8PK2l7WJ3RER9xtqwdhxkhw/edit?usp=sharing"",""ระยอง!M499"")"),0)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IFERROR(__xludf.DUMMYFUNCTION("IMPORTRANGE(""https://docs.google.com/spreadsheets/d/1SX6NBoVAgQJ6U1MVXOaj8PK2l7WJ3RER9xtqwdhxkhw/edit?usp=sharing"",""ระยอง!M500"")"),1300)</f>
        <v>1300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IFERROR(__xludf.DUMMYFUNCTION("IMPORTRANGE(""https://docs.google.com/spreadsheets/d/1SX6NBoVAgQJ6U1MVXOaj8PK2l7WJ3RER9xtqwdhxkhw/edit?usp=sharing"",""ระยอง!J502"")"),0)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IFERROR(__xludf.DUMMYFUNCTION("IMPORTRANGE(""https://docs.google.com/spreadsheets/d/1SX6NBoVAgQJ6U1MVXOaj8PK2l7WJ3RER9xtqwdhxkhw/edit?usp=sharing"",""ระยอง!J503"")"),1)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IFERROR(__xludf.DUMMYFUNCTION("IMPORTRANGE(""https://docs.google.com/spreadsheets/d/1SX6NBoVAgQJ6U1MVXOaj8PK2l7WJ3RER9xtqwdhxkhw/edit?usp=sharing"",""ระยอง!J166"")"),0)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IFERROR(__xludf.DUMMYFUNCTION("IMPORTRANGE(""https://docs.google.com/spreadsheets/d/1SX6NBoVAgQJ6U1MVXOaj8PK2l7WJ3RER9xtqwdhxkhw/edit?usp=sharing"",""ระยอง!J166"")"),0)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IFERROR(__xludf.DUMMYFUNCTION("IMPORTRANGE(""https://docs.google.com/spreadsheets/d/1SX6NBoVAgQJ6U1MVXOaj8PK2l7WJ3RER9xtqwdhxkhw/edit?usp=sharing"",""ระยอง!I506"")"),50)</f>
        <v>50</v>
      </c>
      <c r="J611" s="162">
        <f ca="1">IFERROR(__xludf.DUMMYFUNCTION("IMPORTRANGE(""https://docs.google.com/spreadsheets/d/1SX6NBoVAgQJ6U1MVXOaj8PK2l7WJ3RER9xtqwdhxkhw/edit?usp=sharing"",""ระยอง!J506"")"),0)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IFERROR(__xludf.DUMMYFUNCTION("IMPORTRANGE(""https://docs.google.com/spreadsheets/d/1SX6NBoVAgQJ6U1MVXOaj8PK2l7WJ3RER9xtqwdhxkhw/edit?usp=sharing"",""ระยอง!I507"")"),0)</f>
        <v>0</v>
      </c>
      <c r="J612" s="198">
        <f ca="1">IFERROR(__xludf.DUMMYFUNCTION("IMPORTRANGE(""https://docs.google.com/spreadsheets/d/1SX6NBoVAgQJ6U1MVXOaj8PK2l7WJ3RER9xtqwdhxkhw/edit?usp=sharing"",""ระยอง!J507"")"),0)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IFERROR(__xludf.DUMMYFUNCTION("IMPORTRANGE(""https://docs.google.com/spreadsheets/d/1SX6NBoVAgQJ6U1MVXOaj8PK2l7WJ3RER9xtqwdhxkhw/edit?usp=sharing"",""ระยอง!I508"")"),0)</f>
        <v>0</v>
      </c>
      <c r="J613" s="198">
        <f ca="1">IFERROR(__xludf.DUMMYFUNCTION("IMPORTRANGE(""https://docs.google.com/spreadsheets/d/1SX6NBoVAgQJ6U1MVXOaj8PK2l7WJ3RER9xtqwdhxkhw/edit?usp=sharing"",""ระยอง!J508"")"),0)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IFERROR(__xludf.DUMMYFUNCTION("IMPORTRANGE(""https://docs.google.com/spreadsheets/d/1SX6NBoVAgQJ6U1MVXOaj8PK2l7WJ3RER9xtqwdhxkhw/edit?usp=sharing"",""ระยอง!I509"")"),0)</f>
        <v>0</v>
      </c>
      <c r="J614" s="198">
        <f ca="1">IFERROR(__xludf.DUMMYFUNCTION("IMPORTRANGE(""https://docs.google.com/spreadsheets/d/1SX6NBoVAgQJ6U1MVXOaj8PK2l7WJ3RER9xtqwdhxkhw/edit?usp=sharing"",""ระยอง!J509"")"),0)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IFERROR(__xludf.DUMMYFUNCTION("IMPORTRANGE(""https://docs.google.com/spreadsheets/d/1SX6NBoVAgQJ6U1MVXOaj8PK2l7WJ3RER9xtqwdhxkhw/edit?usp=sharing"",""ระยอง!I510"")"),0)</f>
        <v>0</v>
      </c>
      <c r="J615" s="198">
        <f ca="1">IFERROR(__xludf.DUMMYFUNCTION("IMPORTRANGE(""https://docs.google.com/spreadsheets/d/1SX6NBoVAgQJ6U1MVXOaj8PK2l7WJ3RER9xtqwdhxkhw/edit?usp=sharing"",""ระยอง!J510"")"),0)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IFERROR(__xludf.DUMMYFUNCTION("IMPORTRANGE(""https://docs.google.com/spreadsheets/d/1SX6NBoVAgQJ6U1MVXOaj8PK2l7WJ3RER9xtqwdhxkhw/edit?usp=sharing"",""ระยอง!I511"")"),0)</f>
        <v>0</v>
      </c>
      <c r="J616" s="198">
        <f ca="1">IFERROR(__xludf.DUMMYFUNCTION("IMPORTRANGE(""https://docs.google.com/spreadsheets/d/1SX6NBoVAgQJ6U1MVXOaj8PK2l7WJ3RER9xtqwdhxkhw/edit?usp=sharing"",""ระยอง!J511"")"),0)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IFERROR(__xludf.DUMMYFUNCTION("IMPORTRANGE(""https://docs.google.com/spreadsheets/d/1SX6NBoVAgQJ6U1MVXOaj8PK2l7WJ3RER9xtqwdhxkhw/edit?usp=sharing"",""ระยอง!I512"")"),0)</f>
        <v>0</v>
      </c>
      <c r="J617" s="188">
        <f ca="1">IFERROR(__xludf.DUMMYFUNCTION("IMPORTRANGE(""https://docs.google.com/spreadsheets/d/1SX6NBoVAgQJ6U1MVXOaj8PK2l7WJ3RER9xtqwdhxkhw/edit?usp=sharing"",""ระยอง!J512"")"),0)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IFERROR(__xludf.DUMMYFUNCTION("IMPORTRANGE(""https://docs.google.com/spreadsheets/d/1SX6NBoVAgQJ6U1MVXOaj8PK2l7WJ3RER9xtqwdhxkhw/edit?usp=sharing"",""ระยอง!I513"")"),0)</f>
        <v>0</v>
      </c>
      <c r="J618" s="189">
        <f ca="1">IFERROR(__xludf.DUMMYFUNCTION("IMPORTRANGE(""https://docs.google.com/spreadsheets/d/1SX6NBoVAgQJ6U1MVXOaj8PK2l7WJ3RER9xtqwdhxkhw/edit?usp=sharing"",""ระยอง!J513"")"),0)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IFERROR(__xludf.DUMMYFUNCTION("IMPORTRANGE(""https://docs.google.com/spreadsheets/d/1SX6NBoVAgQJ6U1MVXOaj8PK2l7WJ3RER9xtqwdhxkhw/edit?usp=sharing"",""ระยอง!I514"")"),0)</f>
        <v>0</v>
      </c>
      <c r="J619" s="189">
        <f ca="1">IFERROR(__xludf.DUMMYFUNCTION("IMPORTRANGE(""https://docs.google.com/spreadsheets/d/1SX6NBoVAgQJ6U1MVXOaj8PK2l7WJ3RER9xtqwdhxkhw/edit?usp=sharing"",""ระยอง!J514"")"),0)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IFERROR(__xludf.DUMMYFUNCTION("IMPORTRANGE(""https://docs.google.com/spreadsheets/d/1SX6NBoVAgQJ6U1MVXOaj8PK2l7WJ3RER9xtqwdhxkhw/edit?usp=sharing"",""ระยอง!I515"")"),0)</f>
        <v>0</v>
      </c>
      <c r="J620" s="203">
        <f ca="1">IFERROR(__xludf.DUMMYFUNCTION("IMPORTRANGE(""https://docs.google.com/spreadsheets/d/1SX6NBoVAgQJ6U1MVXOaj8PK2l7WJ3RER9xtqwdhxkhw/edit?usp=sharing"",""ระยอง!J515"")"),0)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IFERROR(__xludf.DUMMYFUNCTION("IMPORTRANGE(""https://docs.google.com/spreadsheets/d/1SX6NBoVAgQJ6U1MVXOaj8PK2l7WJ3RER9xtqwdhxkhw/edit?usp=sharing"",""ระยอง!I516"")"),0)</f>
        <v>0</v>
      </c>
      <c r="J621" s="203">
        <f ca="1">IFERROR(__xludf.DUMMYFUNCTION("IMPORTRANGE(""https://docs.google.com/spreadsheets/d/1SX6NBoVAgQJ6U1MVXOaj8PK2l7WJ3RER9xtqwdhxkhw/edit?usp=sharing"",""ระยอง!J516"")"),0)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IFERROR(__xludf.DUMMYFUNCTION("IMPORTRANGE(""https://docs.google.com/spreadsheets/d/1SX6NBoVAgQJ6U1MVXOaj8PK2l7WJ3RER9xtqwdhxkhw/edit?usp=sharing"",""ระยอง!I517"")"),0)</f>
        <v>0</v>
      </c>
      <c r="J622" s="189">
        <f ca="1">IFERROR(__xludf.DUMMYFUNCTION("IMPORTRANGE(""https://docs.google.com/spreadsheets/d/1SX6NBoVAgQJ6U1MVXOaj8PK2l7WJ3RER9xtqwdhxkhw/edit?usp=sharing"",""ระยอง!J517"")"),0)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IFERROR(__xludf.DUMMYFUNCTION("IMPORTRANGE(""https://docs.google.com/spreadsheets/d/1SX6NBoVAgQJ6U1MVXOaj8PK2l7WJ3RER9xtqwdhxkhw/edit?usp=sharing"",""ระยอง!I518"")"),0)</f>
        <v>0</v>
      </c>
      <c r="J623" s="189">
        <f ca="1">IFERROR(__xludf.DUMMYFUNCTION("IMPORTRANGE(""https://docs.google.com/spreadsheets/d/1SX6NBoVAgQJ6U1MVXOaj8PK2l7WJ3RER9xtqwdhxkhw/edit?usp=sharing"",""ระยอง!J518"")"),0)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IFERROR(__xludf.DUMMYFUNCTION("IMPORTRANGE(""https://docs.google.com/spreadsheets/d/1SX6NBoVAgQJ6U1MVXOaj8PK2l7WJ3RER9xtqwdhxkhw/edit?usp=sharing"",""ระยอง!I519"")"),0)</f>
        <v>0</v>
      </c>
      <c r="J624" s="188">
        <f ca="1">IFERROR(__xludf.DUMMYFUNCTION("IMPORTRANGE(""https://docs.google.com/spreadsheets/d/1SX6NBoVAgQJ6U1MVXOaj8PK2l7WJ3RER9xtqwdhxkhw/edit?usp=sharing"",""ระยอง!J519"")"),0)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IFERROR(__xludf.DUMMYFUNCTION("IMPORTRANGE(""https://docs.google.com/spreadsheets/d/1SX6NBoVAgQJ6U1MVXOaj8PK2l7WJ3RER9xtqwdhxkhw/edit?usp=sharing"",""ระยอง!I520"")"),0)</f>
        <v>0</v>
      </c>
      <c r="J625" s="189">
        <f ca="1">IFERROR(__xludf.DUMMYFUNCTION("IMPORTRANGE(""https://docs.google.com/spreadsheets/d/1SX6NBoVAgQJ6U1MVXOaj8PK2l7WJ3RER9xtqwdhxkhw/edit?usp=sharing"",""ระยอง!J520"")"),0)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IFERROR(__xludf.DUMMYFUNCTION("IMPORTRANGE(""https://docs.google.com/spreadsheets/d/1SX6NBoVAgQJ6U1MVXOaj8PK2l7WJ3RER9xtqwdhxkhw/edit?usp=sharing"",""ระยอง!I521"")"),0)</f>
        <v>0</v>
      </c>
      <c r="J626" s="189">
        <f ca="1">IFERROR(__xludf.DUMMYFUNCTION("IMPORTRANGE(""https://docs.google.com/spreadsheets/d/1SX6NBoVAgQJ6U1MVXOaj8PK2l7WJ3RER9xtqwdhxkhw/edit?usp=sharing"",""ระยอง!J521"")"),0)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IFERROR(__xludf.DUMMYFUNCTION("IMPORTRANGE(""https://docs.google.com/spreadsheets/d/1SX6NBoVAgQJ6U1MVXOaj8PK2l7WJ3RER9xtqwdhxkhw/edit?usp=sharing"",""ระยอง!I523"")"),2198052.65)</f>
        <v>2198052.65</v>
      </c>
      <c r="J628" s="341">
        <f ca="1">IFERROR(__xludf.DUMMYFUNCTION("IMPORTRANGE(""https://docs.google.com/spreadsheets/d/1SX6NBoVAgQJ6U1MVXOaj8PK2l7WJ3RER9xtqwdhxkhw/edit?usp=sharing"",""ระยอง!J523"")"),482300.48)</f>
        <v>482300.48</v>
      </c>
      <c r="K628" s="342">
        <f t="shared" ref="K628:K635" ca="1" si="129">IF(I628&gt;0,J628*100/I628,0)</f>
        <v>21.942171403401098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IFERROR(__xludf.DUMMYFUNCTION("IMPORTRANGE(""https://docs.google.com/spreadsheets/d/1SX6NBoVAgQJ6U1MVXOaj8PK2l7WJ3RER9xtqwdhxkhw/edit?usp=sharing"",""ระยอง!I524"")"),144)</f>
        <v>144</v>
      </c>
      <c r="J629" s="341">
        <f ca="1">IFERROR(__xludf.DUMMYFUNCTION("IMPORTRANGE(""https://docs.google.com/spreadsheets/d/1SX6NBoVAgQJ6U1MVXOaj8PK2l7WJ3RER9xtqwdhxkhw/edit?usp=sharing"",""ระยอง!J524"")"),33)</f>
        <v>33</v>
      </c>
      <c r="K629" s="342">
        <f t="shared" ca="1" si="129"/>
        <v>22.916666666666668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IFERROR(__xludf.DUMMYFUNCTION("IMPORTRANGE(""https://docs.google.com/spreadsheets/d/1SX6NBoVAgQJ6U1MVXOaj8PK2l7WJ3RER9xtqwdhxkhw/edit?usp=sharing"",""ระยอง!I525"")"),1625986.59)</f>
        <v>1625986.59</v>
      </c>
      <c r="J630" s="341">
        <f ca="1">IFERROR(__xludf.DUMMYFUNCTION("IMPORTRANGE(""https://docs.google.com/spreadsheets/d/1SX6NBoVAgQJ6U1MVXOaj8PK2l7WJ3RER9xtqwdhxkhw/edit?usp=sharing"",""ระยอง!J525"")"),187103.94)</f>
        <v>187103.94</v>
      </c>
      <c r="K630" s="342">
        <f t="shared" ca="1" si="129"/>
        <v>11.507102281821401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IFERROR(__xludf.DUMMYFUNCTION("IMPORTRANGE(""https://docs.google.com/spreadsheets/d/1SX6NBoVAgQJ6U1MVXOaj8PK2l7WJ3RER9xtqwdhxkhw/edit?usp=sharing"",""ระยอง!I526"")"),52)</f>
        <v>52</v>
      </c>
      <c r="J631" s="341">
        <f ca="1">IFERROR(__xludf.DUMMYFUNCTION("IMPORTRANGE(""https://docs.google.com/spreadsheets/d/1SX6NBoVAgQJ6U1MVXOaj8PK2l7WJ3RER9xtqwdhxkhw/edit?usp=sharing"",""ระยอง!J526"")"),20)</f>
        <v>20</v>
      </c>
      <c r="K631" s="342">
        <f t="shared" ca="1" si="129"/>
        <v>38.46153846153846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IFERROR(__xludf.DUMMYFUNCTION("IMPORTRANGE(""https://docs.google.com/spreadsheets/d/1SX6NBoVAgQJ6U1MVXOaj8PK2l7WJ3RER9xtqwdhxkhw/edit?usp=sharing"",""ระยอง!I527"")"),0)</f>
        <v>0</v>
      </c>
      <c r="J632" s="341">
        <f ca="1">IFERROR(__xludf.DUMMYFUNCTION("IMPORTRANGE(""https://docs.google.com/spreadsheets/d/1SX6NBoVAgQJ6U1MVXOaj8PK2l7WJ3RER9xtqwdhxkhw/edit?usp=sharing"",""ระยอง!J527"")"),0)</f>
        <v>0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IFERROR(__xludf.DUMMYFUNCTION("IMPORTRANGE(""https://docs.google.com/spreadsheets/d/1SX6NBoVAgQJ6U1MVXOaj8PK2l7WJ3RER9xtqwdhxkhw/edit?usp=sharing"",""ระยอง!I528"")"),0)</f>
        <v>0</v>
      </c>
      <c r="J633" s="341">
        <f ca="1">IFERROR(__xludf.DUMMYFUNCTION("IMPORTRANGE(""https://docs.google.com/spreadsheets/d/1SX6NBoVAgQJ6U1MVXOaj8PK2l7WJ3RER9xtqwdhxkhw/edit?usp=sharing"",""ระยอง!J528"")"),0)</f>
        <v>0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IFERROR(__xludf.DUMMYFUNCTION("IMPORTRANGE(""https://docs.google.com/spreadsheets/d/1SX6NBoVAgQJ6U1MVXOaj8PK2l7WJ3RER9xtqwdhxkhw/edit?usp=sharing"",""ระยอง!I529"")"),2450000)</f>
        <v>2450000</v>
      </c>
      <c r="J634" s="341">
        <f ca="1">IFERROR(__xludf.DUMMYFUNCTION("IMPORTRANGE(""https://docs.google.com/spreadsheets/d/1SX6NBoVAgQJ6U1MVXOaj8PK2l7WJ3RER9xtqwdhxkhw/edit?usp=sharing"",""ระยอง!J529"")"),280000)</f>
        <v>280000</v>
      </c>
      <c r="K634" s="342">
        <f t="shared" ca="1" si="129"/>
        <v>11.428571428571429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IFERROR(__xludf.DUMMYFUNCTION("IMPORTRANGE(""https://docs.google.com/spreadsheets/d/1SX6NBoVAgQJ6U1MVXOaj8PK2l7WJ3RER9xtqwdhxkhw/edit?usp=sharing"",""ระยอง!I530"")"),49)</f>
        <v>49</v>
      </c>
      <c r="J635" s="504">
        <f ca="1">IFERROR(__xludf.DUMMYFUNCTION("IMPORTRANGE(""https://docs.google.com/spreadsheets/d/1SX6NBoVAgQJ6U1MVXOaj8PK2l7WJ3RER9xtqwdhxkhw/edit?usp=sharing"",""ระยอง!J530"")"),6)</f>
        <v>6</v>
      </c>
      <c r="K635" s="486">
        <f t="shared" ca="1" si="129"/>
        <v>12.244897959183673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266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3770337</v>
      </c>
      <c r="M8" s="23">
        <f t="shared" ca="1" si="0"/>
        <v>1751035</v>
      </c>
      <c r="N8" s="23">
        <f t="shared" ca="1" si="0"/>
        <v>1768966.2199999997</v>
      </c>
      <c r="O8" s="22">
        <f t="shared" ref="O8:O16" ca="1" si="1">IF(L8&gt;0,N8*100/L8,0)</f>
        <v>46.917986906740687</v>
      </c>
      <c r="P8" s="22">
        <f t="shared" ref="P8:P16" ca="1" si="2">IF(M8&gt;0,N8*100/M8,0)</f>
        <v>101.02403549900485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3770337</v>
      </c>
      <c r="M10" s="30">
        <f t="shared" ca="1" si="4"/>
        <v>1751035</v>
      </c>
      <c r="N10" s="30">
        <f t="shared" ca="1" si="4"/>
        <v>1768966.2199999997</v>
      </c>
      <c r="O10" s="29">
        <f t="shared" ca="1" si="1"/>
        <v>46.917986906740687</v>
      </c>
      <c r="P10" s="29">
        <f t="shared" ca="1" si="2"/>
        <v>101.02403549900485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3551037</v>
      </c>
      <c r="M12" s="38">
        <f t="shared" ca="1" si="6"/>
        <v>1531735</v>
      </c>
      <c r="N12" s="38">
        <f t="shared" ca="1" si="6"/>
        <v>1549666.2199999997</v>
      </c>
      <c r="O12" s="38">
        <f t="shared" ca="1" si="1"/>
        <v>43.639821832326717</v>
      </c>
      <c r="P12" s="38">
        <f t="shared" ca="1" si="2"/>
        <v>101.17064766425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1326800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2224237</v>
      </c>
      <c r="M14" s="38">
        <f t="shared" si="8"/>
        <v>0</v>
      </c>
      <c r="N14" s="38">
        <f t="shared" ca="1" si="8"/>
        <v>564855.2699999999</v>
      </c>
      <c r="O14" s="38">
        <f t="shared" ca="1" si="1"/>
        <v>25.39546235405669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219300</v>
      </c>
      <c r="M16" s="38">
        <f t="shared" ca="1" si="10"/>
        <v>219300</v>
      </c>
      <c r="N16" s="38">
        <f t="shared" ca="1" si="10"/>
        <v>219300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2170205</v>
      </c>
      <c r="M18" s="23">
        <f t="shared" ca="1" si="11"/>
        <v>1751035</v>
      </c>
      <c r="N18" s="23">
        <f t="shared" ca="1" si="11"/>
        <v>1204110.95</v>
      </c>
      <c r="O18" s="22">
        <f t="shared" ref="O18:O20" ca="1" si="12">IF(L18&gt;0,N18*100/L18,0)</f>
        <v>55.483742319273986</v>
      </c>
      <c r="P18" s="22">
        <f t="shared" ref="P18:P26" ca="1" si="13">IF(M18&gt;0,N18*100/M18,0)</f>
        <v>68.765670018017914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2170205</v>
      </c>
      <c r="M20" s="30">
        <f t="shared" ca="1" si="15"/>
        <v>1751035</v>
      </c>
      <c r="N20" s="30">
        <f t="shared" ca="1" si="15"/>
        <v>1204110.95</v>
      </c>
      <c r="O20" s="29">
        <f t="shared" ca="1" si="12"/>
        <v>55.483742319273986</v>
      </c>
      <c r="P20" s="29">
        <f t="shared" ca="1" si="13"/>
        <v>68.765670018017914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1950905</v>
      </c>
      <c r="M22" s="41">
        <f t="shared" ca="1" si="18"/>
        <v>1531735</v>
      </c>
      <c r="N22" s="38">
        <f t="shared" ca="1" si="18"/>
        <v>984810.95</v>
      </c>
      <c r="O22" s="38">
        <f t="shared" ca="1" si="17"/>
        <v>50.479697883802643</v>
      </c>
      <c r="P22" s="38">
        <f t="shared" ca="1" si="13"/>
        <v>64.293820406271323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1326800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624105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219300</v>
      </c>
      <c r="M26" s="49">
        <f t="shared" ca="1" si="22"/>
        <v>219300</v>
      </c>
      <c r="N26" s="49">
        <f t="shared" ca="1" si="22"/>
        <v>219300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1600132</v>
      </c>
      <c r="M28" s="23">
        <f t="shared" si="23"/>
        <v>0</v>
      </c>
      <c r="N28" s="23">
        <f t="shared" ca="1" si="23"/>
        <v>564855.2699999999</v>
      </c>
      <c r="O28" s="22">
        <f t="shared" ref="O28:O30" ca="1" si="24">IF(L28&gt;0,N28*100/L28,0)</f>
        <v>35.300542080278369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1600132</v>
      </c>
      <c r="M30" s="30">
        <f t="shared" si="27"/>
        <v>0</v>
      </c>
      <c r="N30" s="30">
        <f t="shared" ca="1" si="27"/>
        <v>564855.2699999999</v>
      </c>
      <c r="O30" s="29">
        <f t="shared" ca="1" si="24"/>
        <v>35.300542080278369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1600132</v>
      </c>
      <c r="M32" s="38">
        <f t="shared" si="30"/>
        <v>0</v>
      </c>
      <c r="N32" s="38">
        <f t="shared" ca="1" si="30"/>
        <v>564855.2699999999</v>
      </c>
      <c r="O32" s="38">
        <f t="shared" ca="1" si="29"/>
        <v>35.300542080278369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1600132</v>
      </c>
      <c r="M34" s="38">
        <f t="shared" si="32"/>
        <v>0</v>
      </c>
      <c r="N34" s="38">
        <f t="shared" ca="1" si="32"/>
        <v>564855.2699999999</v>
      </c>
      <c r="O34" s="38">
        <f t="shared" ca="1" si="29"/>
        <v>35.300542080278369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2170205</v>
      </c>
      <c r="M37" s="54">
        <f t="shared" ca="1" si="33"/>
        <v>1751035</v>
      </c>
      <c r="N37" s="54">
        <f t="shared" ca="1" si="33"/>
        <v>1204110.95</v>
      </c>
      <c r="O37" s="55">
        <f t="shared" ca="1" si="29"/>
        <v>55.483742319273986</v>
      </c>
      <c r="P37" s="55">
        <f t="shared" ca="1" si="25"/>
        <v>68.765670018017914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281515</v>
      </c>
      <c r="N41" s="78">
        <f t="shared" ca="1" si="34"/>
        <v>194339.65</v>
      </c>
      <c r="O41" s="77">
        <f t="shared" ref="O41:O43" ca="1" si="35">IF(L41&gt;0,N41*100/L41,0)</f>
        <v>58.748382708585247</v>
      </c>
      <c r="P41" s="77">
        <f t="shared" ref="P41:P43" ca="1" si="36">IF(M41&gt;0,N41*100/M41,0)</f>
        <v>69.033497326963044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281515</v>
      </c>
      <c r="N43" s="78">
        <f t="shared" ca="1" si="38"/>
        <v>194339.65</v>
      </c>
      <c r="O43" s="77">
        <f t="shared" ca="1" si="35"/>
        <v>58.748382708585247</v>
      </c>
      <c r="P43" s="77">
        <f t="shared" ca="1" si="36"/>
        <v>69.033497326963044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IFERROR(__xludf.DUMMYFUNCTION("IMPORTRANGE(""https://docs.google.com/spreadsheets/d/1Yj_ptqi66GCucihVvJfMjLAmec39IyEx_6qawtMGysU/edit?usp=sharing"",""สบก!Q73"")"),281515)</f>
        <v>281515</v>
      </c>
      <c r="N45" s="49">
        <f ca="1">IFERROR(__xludf.DUMMYFUNCTION("IMPORTRANGE(""https://docs.google.com/spreadsheets/d/1Yj_ptqi66GCucihVvJfMjLAmec39IyEx_6qawtMGysU/edit?usp=sharing"",""สบก!R73"")"),194339.65)</f>
        <v>194339.65</v>
      </c>
      <c r="O45" s="38">
        <f ca="1">IF(L45&gt;0,N45*100/L45,0)</f>
        <v>58.748382708585247</v>
      </c>
      <c r="P45" s="38">
        <f ca="1">IF(M45&gt;0,N45*100/M45,0)</f>
        <v>69.033497326963044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IFERROR(__xludf.DUMMYFUNCTION("IMPORTRANGE(""https://docs.google.com/spreadsheets/d/1Yj_ptqi66GCucihVvJfMjLAmec39IyEx_6qawtMGysU/edit?usp=sharing"",""สบก!M73"")"),330800)</f>
        <v>330800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IFERROR(__xludf.DUMMYFUNCTION("IMPORTRANGE(""https://docs.google.com/spreadsheets/d/1Yj_ptqi66GCucihVvJfMjLAmec39IyEx_6qawtMGysU/edit?usp=sharing"",""สบก!N73"")"),0)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IFERROR(__xludf.DUMMYFUNCTION("IMPORTRANGE(""https://docs.google.com/spreadsheets/d/1Yj_ptqi66GCucihVvJfMjLAmec39IyEx_6qawtMGysU/edit?usp=sharing"",""สบก!O73"")"),0)</f>
        <v>0</v>
      </c>
      <c r="M49" s="49"/>
      <c r="N49" s="49">
        <f ca="1">IFERROR(__xludf.DUMMYFUNCTION("IMPORTRANGE(""https://docs.google.com/spreadsheets/d/1Yj_ptqi66GCucihVvJfMjLAmec39IyEx_6qawtMGysU/edit?usp=sharing"",""สบก!S73"")"),0)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239180</v>
      </c>
      <c r="N53" s="121">
        <f t="shared" ca="1" si="39"/>
        <v>192380.1</v>
      </c>
      <c r="O53" s="120">
        <f t="shared" ref="O53:O55" ca="1" si="40">IF(L53&gt;0,N53*100/L53,0)</f>
        <v>64.1267</v>
      </c>
      <c r="P53" s="120">
        <f t="shared" ref="P53:P55" ca="1" si="41">IF(M53&gt;0,N53*100/M53,0)</f>
        <v>80.433188393678407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239180</v>
      </c>
      <c r="N55" s="121">
        <f t="shared" ca="1" si="43"/>
        <v>192380.1</v>
      </c>
      <c r="O55" s="120">
        <f t="shared" ca="1" si="40"/>
        <v>64.1267</v>
      </c>
      <c r="P55" s="120">
        <f t="shared" ca="1" si="41"/>
        <v>80.433188393678407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IFERROR(__xludf.DUMMYFUNCTION("IMPORTRANGE(""https://docs.google.com/spreadsheets/d/1Yj_ptqi66GCucihVvJfMjLAmec39IyEx_6qawtMGysU/edit?usp=sharing"",""สบก!Z73"")"),239180)</f>
        <v>239180</v>
      </c>
      <c r="N57" s="49">
        <f ca="1">IFERROR(__xludf.DUMMYFUNCTION("IMPORTRANGE(""https://docs.google.com/spreadsheets/d/1Yj_ptqi66GCucihVvJfMjLAmec39IyEx_6qawtMGysU/edit?usp=sharing"",""สบก!AA73"")"),192380.1)</f>
        <v>192380.1</v>
      </c>
      <c r="O57" s="38">
        <f ca="1">IF(L57&gt;0,N57*100/L57,0)</f>
        <v>64.1267</v>
      </c>
      <c r="P57" s="38">
        <f ca="1">IF(M57&gt;0,N57*100/M57,0)</f>
        <v>80.433188393678407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IFERROR(__xludf.DUMMYFUNCTION("IMPORTRANGE(""https://docs.google.com/spreadsheets/d/1Yj_ptqi66GCucihVvJfMjLAmec39IyEx_6qawtMGysU/edit?usp=sharing"",""สบก!V73"")"),300000)</f>
        <v>300000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IFERROR(__xludf.DUMMYFUNCTION("IMPORTRANGE(""https://docs.google.com/spreadsheets/d/1Yj_ptqi66GCucihVvJfMjLAmec39IyEx_6qawtMGysU/edit?usp=sharing"",""สบก!W73"")"),0)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IFERROR(__xludf.DUMMYFUNCTION("IMPORTRANGE(""https://docs.google.com/spreadsheets/d/1Yj_ptqi66GCucihVvJfMjLAmec39IyEx_6qawtMGysU/edit?usp=sharing"",""สบก!X73"")"),0)</f>
        <v>0</v>
      </c>
      <c r="M61" s="49"/>
      <c r="N61" s="49">
        <f ca="1">IFERROR(__xludf.DUMMYFUNCTION("IMPORTRANGE(""https://docs.google.com/spreadsheets/d/1Yj_ptqi66GCucihVvJfMjLAmec39IyEx_6qawtMGysU/edit?usp=sharing"",""สบก!AB73"")"),0)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IFERROR(__xludf.DUMMYFUNCTION("IMPORTRANGE(""https://docs.google.com/spreadsheets/d/1SX6NBoVAgQJ6U1MVXOaj8PK2l7WJ3RER9xtqwdhxkhw/edit?usp=sharing"",""ราชบุรี!I9"")"),0)</f>
        <v>0</v>
      </c>
      <c r="J64" s="142">
        <f ca="1">IFERROR(__xludf.DUMMYFUNCTION("IMPORTRANGE(""https://docs.google.com/spreadsheets/d/1SX6NBoVAgQJ6U1MVXOaj8PK2l7WJ3RER9xtqwdhxkhw/edit?usp=sharing"",""ราชบุรี!J9"")"),0)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IFERROR(__xludf.DUMMYFUNCTION("IMPORTRANGE(""https://docs.google.com/spreadsheets/d/1SX6NBoVAgQJ6U1MVXOaj8PK2l7WJ3RER9xtqwdhxkhw/edit?usp=sharing"",""ราชบุรี!I10"")"),0)</f>
        <v>0</v>
      </c>
      <c r="J65" s="142">
        <f ca="1">IFERROR(__xludf.DUMMYFUNCTION("IMPORTRANGE(""https://docs.google.com/spreadsheets/d/1SX6NBoVAgQJ6U1MVXOaj8PK2l7WJ3RER9xtqwdhxkhw/edit?usp=sharing"",""ราชบุรี!J10"")"),0)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IFERROR(__xludf.DUMMYFUNCTION("IMPORTRANGE(""https://docs.google.com/spreadsheets/d/1Yj_ptqi66GCucihVvJfMjLAmec39IyEx_6qawtMGysU/edit?usp=sharing"",""สบก!AI73"")"),0)</f>
        <v>0</v>
      </c>
      <c r="N70" s="169">
        <f ca="1">IFERROR(__xludf.DUMMYFUNCTION("IMPORTRANGE(""https://docs.google.com/spreadsheets/d/1Yj_ptqi66GCucihVvJfMjLAmec39IyEx_6qawtMGysU/edit?usp=sharing"",""สบก!AJ73"")"),0)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IFERROR(__xludf.DUMMYFUNCTION("IMPORTRANGE(""https://docs.google.com/spreadsheets/d/1Yj_ptqi66GCucihVvJfMjLAmec39IyEx_6qawtMGysU/edit?usp=sharing"",""สบก!AE73"")"),0)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IFERROR(__xludf.DUMMYFUNCTION("IMPORTRANGE(""https://docs.google.com/spreadsheets/d/1Yj_ptqi66GCucihVvJfMjLAmec39IyEx_6qawtMGysU/edit?usp=sharing"",""สบก!AF73"")"),0)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IFERROR(__xludf.DUMMYFUNCTION("IMPORTRANGE(""https://docs.google.com/spreadsheets/d/1Yj_ptqi66GCucihVvJfMjLAmec39IyEx_6qawtMGysU/edit?usp=sharing"",""สบก!AG73"")"),0)</f>
        <v>0</v>
      </c>
      <c r="M74" s="49"/>
      <c r="N74" s="49">
        <f ca="1">IFERROR(__xludf.DUMMYFUNCTION("IMPORTRANGE(""https://docs.google.com/spreadsheets/d/1Yj_ptqi66GCucihVvJfMjLAmec39IyEx_6qawtMGysU/edit?usp=sharing"",""สบก!AK73"")"),0)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IFERROR(__xludf.DUMMYFUNCTION("IMPORTRANGE(""https://docs.google.com/spreadsheets/d/1SX6NBoVAgQJ6U1MVXOaj8PK2l7WJ3RER9xtqwdhxkhw/edit?usp=sharing"",""ราชบุรี!J16"")"),0)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IFERROR(__xludf.DUMMYFUNCTION("IMPORTRANGE(""https://docs.google.com/spreadsheets/d/1SX6NBoVAgQJ6U1MVXOaj8PK2l7WJ3RER9xtqwdhxkhw/edit?usp=sharing"",""ราชบุรี!J17"")"),0)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IFERROR(__xludf.DUMMYFUNCTION("IMPORTRANGE(""https://docs.google.com/spreadsheets/d/1SX6NBoVAgQJ6U1MVXOaj8PK2l7WJ3RER9xtqwdhxkhw/edit?usp=sharing"",""ราชบุรี!J18"")"),0)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IFERROR(__xludf.DUMMYFUNCTION("IMPORTRANGE(""https://docs.google.com/spreadsheets/d/1SX6NBoVAgQJ6U1MVXOaj8PK2l7WJ3RER9xtqwdhxkhw/edit?usp=sharing"",""ราชบุรี!J19"")"),0)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IFERROR(__xludf.DUMMYFUNCTION("IMPORTRANGE(""https://docs.google.com/spreadsheets/d/1SX6NBoVAgQJ6U1MVXOaj8PK2l7WJ3RER9xtqwdhxkhw/edit?usp=sharing"",""ราชบุรี!I20"")"),0)</f>
        <v>0</v>
      </c>
      <c r="J80" s="201">
        <f ca="1">IFERROR(__xludf.DUMMYFUNCTION("IMPORTRANGE(""https://docs.google.com/spreadsheets/d/1SX6NBoVAgQJ6U1MVXOaj8PK2l7WJ3RER9xtqwdhxkhw/edit?usp=sharing"",""ราชบุรี!J20"")"),0)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IFERROR(__xludf.DUMMYFUNCTION("IMPORTRANGE(""https://docs.google.com/spreadsheets/d/1SX6NBoVAgQJ6U1MVXOaj8PK2l7WJ3RER9xtqwdhxkhw/edit?usp=sharing"",""ราชบุรี!I21"")"),0)</f>
        <v>0</v>
      </c>
      <c r="J81" s="201">
        <f ca="1">IFERROR(__xludf.DUMMYFUNCTION("IMPORTRANGE(""https://docs.google.com/spreadsheets/d/1SX6NBoVAgQJ6U1MVXOaj8PK2l7WJ3RER9xtqwdhxkhw/edit?usp=sharing"",""ราชบุรี!J21"")"),0)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IFERROR(__xludf.DUMMYFUNCTION("IMPORTRANGE(""https://docs.google.com/spreadsheets/d/1SX6NBoVAgQJ6U1MVXOaj8PK2l7WJ3RER9xtqwdhxkhw/edit?usp=sharing"",""ราชบุรี!I22"")"),0)</f>
        <v>0</v>
      </c>
      <c r="J82" s="204">
        <f ca="1">IFERROR(__xludf.DUMMYFUNCTION("IMPORTRANGE(""https://docs.google.com/spreadsheets/d/1SX6NBoVAgQJ6U1MVXOaj8PK2l7WJ3RER9xtqwdhxkhw/edit?usp=sharing"",""ราชบุรี!J22"")"),0)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IFERROR(__xludf.DUMMYFUNCTION("IMPORTRANGE(""https://docs.google.com/spreadsheets/d/1SX6NBoVAgQJ6U1MVXOaj8PK2l7WJ3RER9xtqwdhxkhw/edit?usp=sharing"",""ราชบุรี!I23"")"),0)</f>
        <v>0</v>
      </c>
      <c r="J83" s="204">
        <f ca="1">IFERROR(__xludf.DUMMYFUNCTION("IMPORTRANGE(""https://docs.google.com/spreadsheets/d/1SX6NBoVAgQJ6U1MVXOaj8PK2l7WJ3RER9xtqwdhxkhw/edit?usp=sharing"",""ราชบุรี!J23"")"),0)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IFERROR(__xludf.DUMMYFUNCTION("IMPORTRANGE(""https://docs.google.com/spreadsheets/d/1SX6NBoVAgQJ6U1MVXOaj8PK2l7WJ3RER9xtqwdhxkhw/edit?usp=sharing"",""ราชบุรี!I24"")"),0)</f>
        <v>0</v>
      </c>
      <c r="J84" s="189">
        <f ca="1">IFERROR(__xludf.DUMMYFUNCTION("IMPORTRANGE(""https://docs.google.com/spreadsheets/d/1SX6NBoVAgQJ6U1MVXOaj8PK2l7WJ3RER9xtqwdhxkhw/edit?usp=sharing"",""ราชบุรี!J24"")"),0)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IFERROR(__xludf.DUMMYFUNCTION("IMPORTRANGE(""https://docs.google.com/spreadsheets/d/1SX6NBoVAgQJ6U1MVXOaj8PK2l7WJ3RER9xtqwdhxkhw/edit?usp=sharing"",""ราชบุรี!I25"")"),0)</f>
        <v>0</v>
      </c>
      <c r="J85" s="189">
        <f ca="1">IFERROR(__xludf.DUMMYFUNCTION("IMPORTRANGE(""https://docs.google.com/spreadsheets/d/1SX6NBoVAgQJ6U1MVXOaj8PK2l7WJ3RER9xtqwdhxkhw/edit?usp=sharing"",""ราชบุรี!J25"")"),0)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IFERROR(__xludf.DUMMYFUNCTION("IMPORTRANGE(""https://docs.google.com/spreadsheets/d/1SX6NBoVAgQJ6U1MVXOaj8PK2l7WJ3RER9xtqwdhxkhw/edit?usp=sharing"",""ราชบุรี!I26"")"),0)</f>
        <v>0</v>
      </c>
      <c r="J86" s="204">
        <f ca="1">IFERROR(__xludf.DUMMYFUNCTION("IMPORTRANGE(""https://docs.google.com/spreadsheets/d/1SX6NBoVAgQJ6U1MVXOaj8PK2l7WJ3RER9xtqwdhxkhw/edit?usp=sharing"",""ราชบุรี!J26"")"),0)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IFERROR(__xludf.DUMMYFUNCTION("IMPORTRANGE(""https://docs.google.com/spreadsheets/d/1SX6NBoVAgQJ6U1MVXOaj8PK2l7WJ3RER9xtqwdhxkhw/edit?usp=sharing"",""ราชบุรี!I27"")"),0)</f>
        <v>0</v>
      </c>
      <c r="J87" s="204">
        <f ca="1">IFERROR(__xludf.DUMMYFUNCTION("IMPORTRANGE(""https://docs.google.com/spreadsheets/d/1SX6NBoVAgQJ6U1MVXOaj8PK2l7WJ3RER9xtqwdhxkhw/edit?usp=sharing"",""ราชบุรี!J27"")"),0)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IFERROR(__xludf.DUMMYFUNCTION("IMPORTRANGE(""https://docs.google.com/spreadsheets/d/1SX6NBoVAgQJ6U1MVXOaj8PK2l7WJ3RER9xtqwdhxkhw/edit?usp=sharing"",""ราชบุรี!I28"")"),0)</f>
        <v>0</v>
      </c>
      <c r="J88" s="204">
        <f ca="1">IFERROR(__xludf.DUMMYFUNCTION("IMPORTRANGE(""https://docs.google.com/spreadsheets/d/1SX6NBoVAgQJ6U1MVXOaj8PK2l7WJ3RER9xtqwdhxkhw/edit?usp=sharing"",""ราชบุรี!J28"")"),0)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IFERROR(__xludf.DUMMYFUNCTION("IMPORTRANGE(""https://docs.google.com/spreadsheets/d/1SX6NBoVAgQJ6U1MVXOaj8PK2l7WJ3RER9xtqwdhxkhw/edit?usp=sharing"",""ราชบุรี!J29"")"),0)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IFERROR(__xludf.DUMMYFUNCTION("IMPORTRANGE(""https://docs.google.com/spreadsheets/d/1SX6NBoVAgQJ6U1MVXOaj8PK2l7WJ3RER9xtqwdhxkhw/edit?usp=sharing"",""ราชบุรี!J30"")"),0)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IFERROR(__xludf.DUMMYFUNCTION("IMPORTRANGE(""https://docs.google.com/spreadsheets/d/1SX6NBoVAgQJ6U1MVXOaj8PK2l7WJ3RER9xtqwdhxkhw/edit?usp=sharing"",""ราชบุรี!I32"")"),6)</f>
        <v>6</v>
      </c>
      <c r="J92" s="142">
        <f ca="1">IFERROR(__xludf.DUMMYFUNCTION("IMPORTRANGE(""https://docs.google.com/spreadsheets/d/1SX6NBoVAgQJ6U1MVXOaj8PK2l7WJ3RER9xtqwdhxkhw/edit?usp=sharing"",""ราชบุรี!J32"")"),6)</f>
        <v>6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IFERROR(__xludf.DUMMYFUNCTION("IMPORTRANGE(""https://docs.google.com/spreadsheets/d/1SX6NBoVAgQJ6U1MVXOaj8PK2l7WJ3RER9xtqwdhxkhw/edit?usp=sharing"",""ราชบุรี!I33"")"),2)</f>
        <v>2</v>
      </c>
      <c r="J93" s="142">
        <f ca="1">IFERROR(__xludf.DUMMYFUNCTION("IMPORTRANGE(""https://docs.google.com/spreadsheets/d/1SX6NBoVAgQJ6U1MVXOaj8PK2l7WJ3RER9xtqwdhxkhw/edit?usp=sharing"",""ราชบุรี!J33"")"),0)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316780</v>
      </c>
      <c r="N94" s="152">
        <f t="shared" ca="1" si="52"/>
        <v>231846.36</v>
      </c>
      <c r="O94" s="151">
        <f t="shared" ref="O94:O96" ca="1" si="53">IF(L94&gt;0,N94*100/L94,0)</f>
        <v>73.188446240292947</v>
      </c>
      <c r="P94" s="151">
        <f t="shared" ref="P94:P96" ca="1" si="54">IF(M94&gt;0,N94*100/M94,0)</f>
        <v>73.188446240292947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316780</v>
      </c>
      <c r="N96" s="157">
        <f t="shared" ca="1" si="56"/>
        <v>231846.36</v>
      </c>
      <c r="O96" s="156">
        <f t="shared" ca="1" si="53"/>
        <v>73.188446240292947</v>
      </c>
      <c r="P96" s="156">
        <f t="shared" ca="1" si="54"/>
        <v>73.188446240292947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IFERROR(__xludf.DUMMYFUNCTION("IMPORTRANGE(""https://docs.google.com/spreadsheets/d/1Yj_ptqi66GCucihVvJfMjLAmec39IyEx_6qawtMGysU/edit?usp=sharing"",""สบก!AR73"")"),131980)</f>
        <v>131980</v>
      </c>
      <c r="N98" s="169">
        <f ca="1">IFERROR(__xludf.DUMMYFUNCTION("IMPORTRANGE(""https://docs.google.com/spreadsheets/d/1Yj_ptqi66GCucihVvJfMjLAmec39IyEx_6qawtMGysU/edit?usp=sharing"",""สบก!AS73"")"),47046.36)</f>
        <v>47046.36</v>
      </c>
      <c r="O98" s="169">
        <f ca="1">IF(L98&gt;0,N98*100/L98,0)</f>
        <v>35.646582815578121</v>
      </c>
      <c r="P98" s="169">
        <f ca="1">IF(M98&gt;0,N98*100/M98,0)</f>
        <v>35.646582815578121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IFERROR(__xludf.DUMMYFUNCTION("IMPORTRANGE(""https://docs.google.com/spreadsheets/d/1Yj_ptqi66GCucihVvJfMjLAmec39IyEx_6qawtMGysU/edit?usp=sharing"",""สบก!AN73"")"),0)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IFERROR(__xludf.DUMMYFUNCTION("IMPORTRANGE(""https://docs.google.com/spreadsheets/d/1Yj_ptqi66GCucihVvJfMjLAmec39IyEx_6qawtMGysU/edit?usp=sharing"",""สบก!AO73"")"),131980)</f>
        <v>131980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IFERROR(__xludf.DUMMYFUNCTION("IMPORTRANGE(""https://docs.google.com/spreadsheets/d/1Yj_ptqi66GCucihVvJfMjLAmec39IyEx_6qawtMGysU/edit?usp=sharing"",""สบก!AP73"")"),184800)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IFERROR(__xludf.DUMMYFUNCTION("IMPORTRANGE(""https://docs.google.com/spreadsheets/d/1Yj_ptqi66GCucihVvJfMjLAmec39IyEx_6qawtMGysU/edit?usp=sharing"",""สบก!AT73"")"),184800)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IFERROR(__xludf.DUMMYFUNCTION("IMPORTRANGE(""https://docs.google.com/spreadsheets/d/1SX6NBoVAgQJ6U1MVXOaj8PK2l7WJ3RER9xtqwdhxkhw/edit?usp=sharing"",""ราชบุรี!J39"")"),0)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IFERROR(__xludf.DUMMYFUNCTION("IMPORTRANGE(""https://docs.google.com/spreadsheets/d/1SX6NBoVAgQJ6U1MVXOaj8PK2l7WJ3RER9xtqwdhxkhw/edit?usp=sharing"",""ราชบุรี!J40"")"),1)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IFERROR(__xludf.DUMMYFUNCTION("IMPORTRANGE(""https://docs.google.com/spreadsheets/d/1SX6NBoVAgQJ6U1MVXOaj8PK2l7WJ3RER9xtqwdhxkhw/edit?usp=sharing"",""ราชบุรี!J41"")"),1)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IFERROR(__xludf.DUMMYFUNCTION("IMPORTRANGE(""https://docs.google.com/spreadsheets/d/1SX6NBoVAgQJ6U1MVXOaj8PK2l7WJ3RER9xtqwdhxkhw/edit?usp=sharing"",""ราชบุรี!J42"")"),1)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IFERROR(__xludf.DUMMYFUNCTION("IMPORTRANGE(""https://docs.google.com/spreadsheets/d/1SX6NBoVAgQJ6U1MVXOaj8PK2l7WJ3RER9xtqwdhxkhw/edit?usp=sharing"",""ราชบุรี!I43"")"),1)</f>
        <v>1</v>
      </c>
      <c r="J108" s="204">
        <f ca="1">IFERROR(__xludf.DUMMYFUNCTION("IMPORTRANGE(""https://docs.google.com/spreadsheets/d/1SX6NBoVAgQJ6U1MVXOaj8PK2l7WJ3RER9xtqwdhxkhw/edit?usp=sharing"",""ราชบุรี!J43"")"),1)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IFERROR(__xludf.DUMMYFUNCTION("IMPORTRANGE(""https://docs.google.com/spreadsheets/d/1SX6NBoVAgQJ6U1MVXOaj8PK2l7WJ3RER9xtqwdhxkhw/edit?usp=sharing"",""ราชบุรี!I44"")"),6)</f>
        <v>6</v>
      </c>
      <c r="J109" s="204">
        <f ca="1">IFERROR(__xludf.DUMMYFUNCTION("IMPORTRANGE(""https://docs.google.com/spreadsheets/d/1SX6NBoVAgQJ6U1MVXOaj8PK2l7WJ3RER9xtqwdhxkhw/edit?usp=sharing"",""ราชบุรี!J44"")"),6)</f>
        <v>6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IFERROR(__xludf.DUMMYFUNCTION("IMPORTRANGE(""https://docs.google.com/spreadsheets/d/1SX6NBoVAgQJ6U1MVXOaj8PK2l7WJ3RER9xtqwdhxkhw/edit?usp=sharing"",""ราชบุรี!I45"")"),6)</f>
        <v>6</v>
      </c>
      <c r="J110" s="204">
        <f ca="1">IFERROR(__xludf.DUMMYFUNCTION("IMPORTRANGE(""https://docs.google.com/spreadsheets/d/1SX6NBoVAgQJ6U1MVXOaj8PK2l7WJ3RER9xtqwdhxkhw/edit?usp=sharing"",""ราชบุรี!J45"")"),6)</f>
        <v>6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IFERROR(__xludf.DUMMYFUNCTION("IMPORTRANGE(""https://docs.google.com/spreadsheets/d/1SX6NBoVAgQJ6U1MVXOaj8PK2l7WJ3RER9xtqwdhxkhw/edit?usp=sharing"",""ราชบุรี!I46"")"),6)</f>
        <v>6</v>
      </c>
      <c r="J111" s="204">
        <f ca="1">IFERROR(__xludf.DUMMYFUNCTION("IMPORTRANGE(""https://docs.google.com/spreadsheets/d/1SX6NBoVAgQJ6U1MVXOaj8PK2l7WJ3RER9xtqwdhxkhw/edit?usp=sharing"",""ราชบุรี!J46"")"),6)</f>
        <v>6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IFERROR(__xludf.DUMMYFUNCTION("IMPORTRANGE(""https://docs.google.com/spreadsheets/d/1SX6NBoVAgQJ6U1MVXOaj8PK2l7WJ3RER9xtqwdhxkhw/edit?usp=sharing"",""ราชบุรี!I47"")"),6)</f>
        <v>6</v>
      </c>
      <c r="J112" s="204">
        <f ca="1">IFERROR(__xludf.DUMMYFUNCTION("IMPORTRANGE(""https://docs.google.com/spreadsheets/d/1SX6NBoVAgQJ6U1MVXOaj8PK2l7WJ3RER9xtqwdhxkhw/edit?usp=sharing"",""ราชบุรี!J47"")"),6)</f>
        <v>6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IFERROR(__xludf.DUMMYFUNCTION("IMPORTRANGE(""https://docs.google.com/spreadsheets/d/1SX6NBoVAgQJ6U1MVXOaj8PK2l7WJ3RER9xtqwdhxkhw/edit?usp=sharing"",""ราชบุรี!I48"")"),2)</f>
        <v>2</v>
      </c>
      <c r="J113" s="204">
        <f ca="1">IFERROR(__xludf.DUMMYFUNCTION("IMPORTRANGE(""https://docs.google.com/spreadsheets/d/1SX6NBoVAgQJ6U1MVXOaj8PK2l7WJ3RER9xtqwdhxkhw/edit?usp=sharing"",""ราชบุรี!J48"")"),0)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IFERROR(__xludf.DUMMYFUNCTION("IMPORTRANGE(""https://docs.google.com/spreadsheets/d/1SX6NBoVAgQJ6U1MVXOaj8PK2l7WJ3RER9xtqwdhxkhw/edit?usp=sharing"",""ราชบุรี!J49"")"),0)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IFERROR(__xludf.DUMMYFUNCTION("IMPORTRANGE(""https://docs.google.com/spreadsheets/d/1SX6NBoVAgQJ6U1MVXOaj8PK2l7WJ3RER9xtqwdhxkhw/edit?usp=sharing"",""ราชบุรี!J50"")"),0)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IFERROR(__xludf.DUMMYFUNCTION("IMPORTRANGE(""https://docs.google.com/spreadsheets/d/1SX6NBoVAgQJ6U1MVXOaj8PK2l7WJ3RER9xtqwdhxkhw/edit?usp=sharing"",""ราชบุรี!I52"")"),0)</f>
        <v>0</v>
      </c>
      <c r="J117" s="142">
        <f ca="1">IFERROR(__xludf.DUMMYFUNCTION("IMPORTRANGE(""https://docs.google.com/spreadsheets/d/1SX6NBoVAgQJ6U1MVXOaj8PK2l7WJ3RER9xtqwdhxkhw/edit?usp=sharing"",""ราชบุรี!J52"")"),0)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IFERROR(__xludf.DUMMYFUNCTION("IMPORTRANGE(""https://docs.google.com/spreadsheets/d/1Yj_ptqi66GCucihVvJfMjLAmec39IyEx_6qawtMGysU/edit?usp=sharing"",""สบก!BA73"")"),0)</f>
        <v>0</v>
      </c>
      <c r="N122" s="169">
        <f ca="1">IFERROR(__xludf.DUMMYFUNCTION("IMPORTRANGE(""https://docs.google.com/spreadsheets/d/1Yj_ptqi66GCucihVvJfMjLAmec39IyEx_6qawtMGysU/edit?usp=sharing"",""สบก!BB73"")"),0)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IFERROR(__xludf.DUMMYFUNCTION("IMPORTRANGE(""https://docs.google.com/spreadsheets/d/1Yj_ptqi66GCucihVvJfMjLAmec39IyEx_6qawtMGysU/edit?usp=sharing"",""สบก!AW73"")"),0)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IFERROR(__xludf.DUMMYFUNCTION("IMPORTRANGE(""https://docs.google.com/spreadsheets/d/1Yj_ptqi66GCucihVvJfMjLAmec39IyEx_6qawtMGysU/edit?usp=sharing"",""สบก!AX73"")"),0)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IFERROR(__xludf.DUMMYFUNCTION("IMPORTRANGE(""https://docs.google.com/spreadsheets/d/1Yj_ptqi66GCucihVvJfMjLAmec39IyEx_6qawtMGysU/edit?usp=sharing"",""สบก!AY73"")"),0)</f>
        <v>0</v>
      </c>
      <c r="M126" s="49"/>
      <c r="N126" s="49">
        <f ca="1">IFERROR(__xludf.DUMMYFUNCTION("IMPORTRANGE(""https://docs.google.com/spreadsheets/d/1Yj_ptqi66GCucihVvJfMjLAmec39IyEx_6qawtMGysU/edit?usp=sharing"",""สบก!BC73"")"),0)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267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IFERROR(__xludf.DUMMYFUNCTION("IMPORTRANGE(""https://docs.google.com/spreadsheets/d/1SX6NBoVAgQJ6U1MVXOaj8PK2l7WJ3RER9xtqwdhxkhw/edit?usp=sharing"",""ราชบุรี!J58"")"),0)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IFERROR(__xludf.DUMMYFUNCTION("IMPORTRANGE(""https://docs.google.com/spreadsheets/d/1SX6NBoVAgQJ6U1MVXOaj8PK2l7WJ3RER9xtqwdhxkhw/edit?usp=sharing"",""ราชบุรี!J59"")"),0)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IFERROR(__xludf.DUMMYFUNCTION("IMPORTRANGE(""https://docs.google.com/spreadsheets/d/1SX6NBoVAgQJ6U1MVXOaj8PK2l7WJ3RER9xtqwdhxkhw/edit?usp=sharing"",""ราชบุรี!J60"")"),0)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IFERROR(__xludf.DUMMYFUNCTION("IMPORTRANGE(""https://docs.google.com/spreadsheets/d/1SX6NBoVAgQJ6U1MVXOaj8PK2l7WJ3RER9xtqwdhxkhw/edit?usp=sharing"",""ราชบุรี!J61"")"),0)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IFERROR(__xludf.DUMMYFUNCTION("IMPORTRANGE(""https://docs.google.com/spreadsheets/d/1SX6NBoVAgQJ6U1MVXOaj8PK2l7WJ3RER9xtqwdhxkhw/edit?usp=sharing"",""ราชบุรี!I62"")"),0)</f>
        <v>0</v>
      </c>
      <c r="J132" s="204">
        <f ca="1">IFERROR(__xludf.DUMMYFUNCTION("IMPORTRANGE(""https://docs.google.com/spreadsheets/d/1SX6NBoVAgQJ6U1MVXOaj8PK2l7WJ3RER9xtqwdhxkhw/edit?usp=sharing"",""ราชบุรี!J62"")"),0)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IFERROR(__xludf.DUMMYFUNCTION("IMPORTRANGE(""https://docs.google.com/spreadsheets/d/1SX6NBoVAgQJ6U1MVXOaj8PK2l7WJ3RER9xtqwdhxkhw/edit?usp=sharing"",""ราชบุรี!I63"")"),0)</f>
        <v>0</v>
      </c>
      <c r="J133" s="204">
        <f ca="1">IFERROR(__xludf.DUMMYFUNCTION("IMPORTRANGE(""https://docs.google.com/spreadsheets/d/1SX6NBoVAgQJ6U1MVXOaj8PK2l7WJ3RER9xtqwdhxkhw/edit?usp=sharing"",""ราชบุรี!J63"")"),0)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IFERROR(__xludf.DUMMYFUNCTION("IMPORTRANGE(""https://docs.google.com/spreadsheets/d/1SX6NBoVAgQJ6U1MVXOaj8PK2l7WJ3RER9xtqwdhxkhw/edit?usp=sharing"",""ราชบุรี!J64"")"),0)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IFERROR(__xludf.DUMMYFUNCTION("IMPORTRANGE(""https://docs.google.com/spreadsheets/d/1SX6NBoVAgQJ6U1MVXOaj8PK2l7WJ3RER9xtqwdhxkhw/edit?usp=sharing"",""ราชบุรี!J65"")"),0)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IFERROR(__xludf.DUMMYFUNCTION("IMPORTRANGE(""https://docs.google.com/spreadsheets/d/1SX6NBoVAgQJ6U1MVXOaj8PK2l7WJ3RER9xtqwdhxkhw/edit?usp=sharing"",""ราชบุรี!I68"")"),0)</f>
        <v>0</v>
      </c>
      <c r="J138" s="267">
        <f ca="1">IFERROR(__xludf.DUMMYFUNCTION("IMPORTRANGE(""https://docs.google.com/spreadsheets/d/1SX6NBoVAgQJ6U1MVXOaj8PK2l7WJ3RER9xtqwdhxkhw/edit?usp=sharing"",""ราชบุรี!J68"")"),0)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55625</v>
      </c>
      <c r="N140" s="152">
        <f t="shared" ca="1" si="64"/>
        <v>1616.1</v>
      </c>
      <c r="O140" s="151">
        <f t="shared" ref="O140:O142" ca="1" si="65">IF(L140&gt;0,N140*100/L140,0)</f>
        <v>2.7625641025641028</v>
      </c>
      <c r="P140" s="151">
        <f t="shared" ref="P140:P142" ca="1" si="66">IF(M140&gt;0,N140*100/M140,0)</f>
        <v>2.9053483146067416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58500</v>
      </c>
      <c r="M142" s="157">
        <f t="shared" ca="1" si="68"/>
        <v>55625</v>
      </c>
      <c r="N142" s="157">
        <f t="shared" ca="1" si="68"/>
        <v>1616.1</v>
      </c>
      <c r="O142" s="156">
        <f t="shared" ca="1" si="65"/>
        <v>2.7625641025641028</v>
      </c>
      <c r="P142" s="156">
        <f t="shared" ca="1" si="66"/>
        <v>2.9053483146067416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58500</v>
      </c>
      <c r="M144" s="168">
        <f ca="1">IFERROR(__xludf.DUMMYFUNCTION("IMPORTRANGE(""https://docs.google.com/spreadsheets/d/1Yj_ptqi66GCucihVvJfMjLAmec39IyEx_6qawtMGysU/edit?usp=sharing"",""สบก!BJ73"")"),55625)</f>
        <v>55625</v>
      </c>
      <c r="N144" s="169">
        <f ca="1">IFERROR(__xludf.DUMMYFUNCTION("IMPORTRANGE(""https://docs.google.com/spreadsheets/d/1Yj_ptqi66GCucihVvJfMjLAmec39IyEx_6qawtMGysU/edit?usp=sharing"",""สบก!BK73"")"),1616.1)</f>
        <v>1616.1</v>
      </c>
      <c r="O144" s="169">
        <f ca="1">IF(L144&gt;0,N144*100/L144,0)</f>
        <v>2.7625641025641028</v>
      </c>
      <c r="P144" s="169">
        <f ca="1">IF(M144&gt;0,N144*100/M144,0)</f>
        <v>2.9053483146067416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IFERROR(__xludf.DUMMYFUNCTION("IMPORTRANGE(""https://docs.google.com/spreadsheets/d/1Yj_ptqi66GCucihVvJfMjLAmec39IyEx_6qawtMGysU/edit?usp=sharing"",""สบก!BF73"")"),0)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IFERROR(__xludf.DUMMYFUNCTION("IMPORTRANGE(""https://docs.google.com/spreadsheets/d/1Yj_ptqi66GCucihVvJfMjLAmec39IyEx_6qawtMGysU/edit?usp=sharing"",""สบก!BG73"")"),58500)</f>
        <v>58500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IFERROR(__xludf.DUMMYFUNCTION("IMPORTRANGE(""https://docs.google.com/spreadsheets/d/1Yj_ptqi66GCucihVvJfMjLAmec39IyEx_6qawtMGysU/edit?usp=sharing"",""สบก!BH73"")"),0)</f>
        <v>0</v>
      </c>
      <c r="M148" s="49"/>
      <c r="N148" s="49">
        <f ca="1">IFERROR(__xludf.DUMMYFUNCTION("IMPORTRANGE(""https://docs.google.com/spreadsheets/d/1Yj_ptqi66GCucihVvJfMjLAmec39IyEx_6qawtMGysU/edit?usp=sharing"",""สบก!BL73"")"),0)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IFERROR(__xludf.DUMMYFUNCTION("IMPORTRANGE(""https://docs.google.com/spreadsheets/d/1SX6NBoVAgQJ6U1MVXOaj8PK2l7WJ3RER9xtqwdhxkhw/edit?usp=sharing"",""ราชบุรี!I74"")"),4)</f>
        <v>4</v>
      </c>
      <c r="J149" s="275">
        <f ca="1">IFERROR(__xludf.DUMMYFUNCTION("IMPORTRANGE(""https://docs.google.com/spreadsheets/d/1SX6NBoVAgQJ6U1MVXOaj8PK2l7WJ3RER9xtqwdhxkhw/edit?usp=sharing"",""ราชบุรี!J74"")"),2)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IFERROR(__xludf.DUMMYFUNCTION("IMPORTRANGE(""https://docs.google.com/spreadsheets/d/1SX6NBoVAgQJ6U1MVXOaj8PK2l7WJ3RER9xtqwdhxkhw/edit?usp=sharing"",""ราชบุรี!J79"")"),0)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IFERROR(__xludf.DUMMYFUNCTION("IMPORTRANGE(""https://docs.google.com/spreadsheets/d/1SX6NBoVAgQJ6U1MVXOaj8PK2l7WJ3RER9xtqwdhxkhw/edit?usp=sharing"",""ราชบุรี!J80"")"),1)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IFERROR(__xludf.DUMMYFUNCTION("IMPORTRANGE(""https://docs.google.com/spreadsheets/d/1SX6NBoVAgQJ6U1MVXOaj8PK2l7WJ3RER9xtqwdhxkhw/edit?usp=sharing"",""ราชบุรี!J81"")"),0)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IFERROR(__xludf.DUMMYFUNCTION("IMPORTRANGE(""https://docs.google.com/spreadsheets/d/1SX6NBoVAgQJ6U1MVXOaj8PK2l7WJ3RER9xtqwdhxkhw/edit?usp=sharing"",""ราชบุรี!J82"")"),1)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IFERROR(__xludf.DUMMYFUNCTION("IMPORTRANGE(""https://docs.google.com/spreadsheets/d/1SX6NBoVAgQJ6U1MVXOaj8PK2l7WJ3RER9xtqwdhxkhw/edit?usp=sharing"",""ราชบุรี!I83"")"),4)</f>
        <v>4</v>
      </c>
      <c r="J158" s="189">
        <f ca="1">IFERROR(__xludf.DUMMYFUNCTION("IMPORTRANGE(""https://docs.google.com/spreadsheets/d/1SX6NBoVAgQJ6U1MVXOaj8PK2l7WJ3RER9xtqwdhxkhw/edit?usp=sharing"",""ราชบุรี!J83"")"),2)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IFERROR(__xludf.DUMMYFUNCTION("IMPORTRANGE(""https://docs.google.com/spreadsheets/d/1SX6NBoVAgQJ6U1MVXOaj8PK2l7WJ3RER9xtqwdhxkhw/edit?usp=sharing"",""ราชบุรี!J84"")"),110)</f>
        <v>110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IFERROR(__xludf.DUMMYFUNCTION("IMPORTRANGE(""https://docs.google.com/spreadsheets/d/1SX6NBoVAgQJ6U1MVXOaj8PK2l7WJ3RER9xtqwdhxkhw/edit?usp=sharing"",""ราชบุรี!J85"")"),110)</f>
        <v>110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IFERROR(__xludf.DUMMYFUNCTION("IMPORTRANGE(""https://docs.google.com/spreadsheets/d/1SX6NBoVAgQJ6U1MVXOaj8PK2l7WJ3RER9xtqwdhxkhw/edit?usp=sharing"",""ราชบุรี!J86"")"),0)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IFERROR(__xludf.DUMMYFUNCTION("IMPORTRANGE(""https://docs.google.com/spreadsheets/d/1SX6NBoVAgQJ6U1MVXOaj8PK2l7WJ3RER9xtqwdhxkhw/edit?usp=sharing"",""ราชบุรี!J87"")"),0)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IFERROR(__xludf.DUMMYFUNCTION("IMPORTRANGE(""https://docs.google.com/spreadsheets/d/1SX6NBoVAgQJ6U1MVXOaj8PK2l7WJ3RER9xtqwdhxkhw/edit?usp=sharing"",""ราชบุรี!J88"")"),0)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IFERROR(__xludf.DUMMYFUNCTION("IMPORTRANGE(""https://docs.google.com/spreadsheets/d/1SX6NBoVAgQJ6U1MVXOaj8PK2l7WJ3RER9xtqwdhxkhw/edit?usp=sharing"",""ราชบุรี!I89"")"),3)</f>
        <v>3</v>
      </c>
      <c r="J164" s="284">
        <f ca="1">IFERROR(__xludf.DUMMYFUNCTION("IMPORTRANGE(""https://docs.google.com/spreadsheets/d/1SX6NBoVAgQJ6U1MVXOaj8PK2l7WJ3RER9xtqwdhxkhw/edit?usp=sharing"",""ราชบุรี!J89"")"),0)</f>
        <v>0</v>
      </c>
      <c r="K164" s="285">
        <f ca="1">IF(I164&gt;0,J164*100/I164,0)</f>
        <v>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IFERROR(__xludf.DUMMYFUNCTION("IMPORTRANGE(""https://docs.google.com/spreadsheets/d/1SX6NBoVAgQJ6U1MVXOaj8PK2l7WJ3RER9xtqwdhxkhw/edit?usp=sharing"",""ราชบุรี!J94"")"),0)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IFERROR(__xludf.DUMMYFUNCTION("IMPORTRANGE(""https://docs.google.com/spreadsheets/d/1SX6NBoVAgQJ6U1MVXOaj8PK2l7WJ3RER9xtqwdhxkhw/edit?usp=sharing"",""ราชบุรี!J95"")"),1)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IFERROR(__xludf.DUMMYFUNCTION("IMPORTRANGE(""https://docs.google.com/spreadsheets/d/1SX6NBoVAgQJ6U1MVXOaj8PK2l7WJ3RER9xtqwdhxkhw/edit?usp=sharing"",""ราชบุรี!J96"")"),0)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IFERROR(__xludf.DUMMYFUNCTION("IMPORTRANGE(""https://docs.google.com/spreadsheets/d/1SX6NBoVAgQJ6U1MVXOaj8PK2l7WJ3RER9xtqwdhxkhw/edit?usp=sharing"",""ราชบุรี!J97"")"),1)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IFERROR(__xludf.DUMMYFUNCTION("IMPORTRANGE(""https://docs.google.com/spreadsheets/d/1SX6NBoVAgQJ6U1MVXOaj8PK2l7WJ3RER9xtqwdhxkhw/edit?usp=sharing"",""ราชบุรี!I98"")"),3)</f>
        <v>3</v>
      </c>
      <c r="J173" s="189">
        <f ca="1">IFERROR(__xludf.DUMMYFUNCTION("IMPORTRANGE(""https://docs.google.com/spreadsheets/d/1SX6NBoVAgQJ6U1MVXOaj8PK2l7WJ3RER9xtqwdhxkhw/edit?usp=sharing"",""ราชบุรี!J98"")"),0)</f>
        <v>0</v>
      </c>
      <c r="K173" s="163">
        <f ca="1">IF(I173&gt;0,J173*100/I173,0)</f>
        <v>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IFERROR(__xludf.DUMMYFUNCTION("IMPORTRANGE(""https://docs.google.com/spreadsheets/d/1SX6NBoVAgQJ6U1MVXOaj8PK2l7WJ3RER9xtqwdhxkhw/edit?usp=sharing"",""ราชบุรี!J99"")"),0)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IFERROR(__xludf.DUMMYFUNCTION("IMPORTRANGE(""https://docs.google.com/spreadsheets/d/1SX6NBoVAgQJ6U1MVXOaj8PK2l7WJ3RER9xtqwdhxkhw/edit?usp=sharing"",""ราชบุรี!J100"")"),0)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IFERROR(__xludf.DUMMYFUNCTION("IMPORTRANGE(""https://docs.google.com/spreadsheets/d/1SX6NBoVAgQJ6U1MVXOaj8PK2l7WJ3RER9xtqwdhxkhw/edit?usp=sharing"",""ราชบุรี!I101"")"),0)</f>
        <v>0</v>
      </c>
      <c r="J176" s="284">
        <f ca="1">IFERROR(__xludf.DUMMYFUNCTION("IMPORTRANGE(""https://docs.google.com/spreadsheets/d/1SX6NBoVAgQJ6U1MVXOaj8PK2l7WJ3RER9xtqwdhxkhw/edit?usp=sharing"",""ราชบุรี!J101"")"),0)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IFERROR(__xludf.DUMMYFUNCTION("IMPORTRANGE(""https://docs.google.com/spreadsheets/d/1SX6NBoVAgQJ6U1MVXOaj8PK2l7WJ3RER9xtqwdhxkhw/edit?usp=sharing"",""ราชบุรี!J106"")"),0)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IFERROR(__xludf.DUMMYFUNCTION("IMPORTRANGE(""https://docs.google.com/spreadsheets/d/1SX6NBoVAgQJ6U1MVXOaj8PK2l7WJ3RER9xtqwdhxkhw/edit?usp=sharing"",""ราชบุรี!J107"")"),0)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IFERROR(__xludf.DUMMYFUNCTION("IMPORTRANGE(""https://docs.google.com/spreadsheets/d/1SX6NBoVAgQJ6U1MVXOaj8PK2l7WJ3RER9xtqwdhxkhw/edit?usp=sharing"",""ราชบุรี!J108"")"),0)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IFERROR(__xludf.DUMMYFUNCTION("IMPORTRANGE(""https://docs.google.com/spreadsheets/d/1SX6NBoVAgQJ6U1MVXOaj8PK2l7WJ3RER9xtqwdhxkhw/edit?usp=sharing"",""ราชบุรี!J109"")"),0)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IFERROR(__xludf.DUMMYFUNCTION("IMPORTRANGE(""https://docs.google.com/spreadsheets/d/1SX6NBoVAgQJ6U1MVXOaj8PK2l7WJ3RER9xtqwdhxkhw/edit?usp=sharing"",""ราชบุรี!I110"")"),0)</f>
        <v>0</v>
      </c>
      <c r="J185" s="204">
        <f ca="1">IFERROR(__xludf.DUMMYFUNCTION("IMPORTRANGE(""https://docs.google.com/spreadsheets/d/1SX6NBoVAgQJ6U1MVXOaj8PK2l7WJ3RER9xtqwdhxkhw/edit?usp=sharing"",""ราชบุรี!J110"")"),0)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IFERROR(__xludf.DUMMYFUNCTION("IMPORTRANGE(""https://docs.google.com/spreadsheets/d/1SX6NBoVAgQJ6U1MVXOaj8PK2l7WJ3RER9xtqwdhxkhw/edit?usp=sharing"",""ราชบุรี!I111"")"),0)</f>
        <v>0</v>
      </c>
      <c r="J186" s="204">
        <f ca="1">IFERROR(__xludf.DUMMYFUNCTION("IMPORTRANGE(""https://docs.google.com/spreadsheets/d/1SX6NBoVAgQJ6U1MVXOaj8PK2l7WJ3RER9xtqwdhxkhw/edit?usp=sharing"",""ราชบุรี!J111"")"),0)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IFERROR(__xludf.DUMMYFUNCTION("IMPORTRANGE(""https://docs.google.com/spreadsheets/d/1SX6NBoVAgQJ6U1MVXOaj8PK2l7WJ3RER9xtqwdhxkhw/edit?usp=sharing"",""ราชบุรี!J112"")"),0)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IFERROR(__xludf.DUMMYFUNCTION("IMPORTRANGE(""https://docs.google.com/spreadsheets/d/1SX6NBoVAgQJ6U1MVXOaj8PK2l7WJ3RER9xtqwdhxkhw/edit?usp=sharing"",""ราชบุรี!J113"")"),0)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IFERROR(__xludf.DUMMYFUNCTION("IMPORTRANGE(""https://docs.google.com/spreadsheets/d/1SX6NBoVAgQJ6U1MVXOaj8PK2l7WJ3RER9xtqwdhxkhw/edit?usp=sharing"",""ราชบุรี!I114"")"),20000)</f>
        <v>20000</v>
      </c>
      <c r="J189" s="284">
        <f ca="1">IFERROR(__xludf.DUMMYFUNCTION("IMPORTRANGE(""https://docs.google.com/spreadsheets/d/1SX6NBoVAgQJ6U1MVXOaj8PK2l7WJ3RER9xtqwdhxkhw/edit?usp=sharing"",""ราชบุรี!J114"")"),0)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IFERROR(__xludf.DUMMYFUNCTION("IMPORTRANGE(""https://docs.google.com/spreadsheets/d/1SX6NBoVAgQJ6U1MVXOaj8PK2l7WJ3RER9xtqwdhxkhw/edit?usp=sharing"",""ราชบุรี!J119"")"),0)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IFERROR(__xludf.DUMMYFUNCTION("IMPORTRANGE(""https://docs.google.com/spreadsheets/d/1SX6NBoVAgQJ6U1MVXOaj8PK2l7WJ3RER9xtqwdhxkhw/edit?usp=sharing"",""ราชบุรี!J120"")"),1)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IFERROR(__xludf.DUMMYFUNCTION("IMPORTRANGE(""https://docs.google.com/spreadsheets/d/1SX6NBoVAgQJ6U1MVXOaj8PK2l7WJ3RER9xtqwdhxkhw/edit?usp=sharing"",""ราชบุรี!J121"")"),0)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IFERROR(__xludf.DUMMYFUNCTION("IMPORTRANGE(""https://docs.google.com/spreadsheets/d/1SX6NBoVAgQJ6U1MVXOaj8PK2l7WJ3RER9xtqwdhxkhw/edit?usp=sharing"",""ราชบุรี!J122"")"),0)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IFERROR(__xludf.DUMMYFUNCTION("IMPORTRANGE(""https://docs.google.com/spreadsheets/d/1SX6NBoVAgQJ6U1MVXOaj8PK2l7WJ3RER9xtqwdhxkhw/edit?usp=sharing"",""ราชบุรี!I124"")"),20000)</f>
        <v>20000</v>
      </c>
      <c r="J199" s="189">
        <f ca="1">IFERROR(__xludf.DUMMYFUNCTION("IMPORTRANGE(""https://docs.google.com/spreadsheets/d/1SX6NBoVAgQJ6U1MVXOaj8PK2l7WJ3RER9xtqwdhxkhw/edit?usp=sharing"",""ราชบุรี!J124"")"),0)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IFERROR(__xludf.DUMMYFUNCTION("IMPORTRANGE(""https://docs.google.com/spreadsheets/d/1SX6NBoVAgQJ6U1MVXOaj8PK2l7WJ3RER9xtqwdhxkhw/edit?usp=sharing"",""ราชบุรี!I125"")"),20000)</f>
        <v>20000</v>
      </c>
      <c r="J200" s="189">
        <f ca="1">IFERROR(__xludf.DUMMYFUNCTION("IMPORTRANGE(""https://docs.google.com/spreadsheets/d/1SX6NBoVAgQJ6U1MVXOaj8PK2l7WJ3RER9xtqwdhxkhw/edit?usp=sharing"",""ราชบุรี!J125"")"),0)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IFERROR(__xludf.DUMMYFUNCTION("IMPORTRANGE(""https://docs.google.com/spreadsheets/d/1SX6NBoVAgQJ6U1MVXOaj8PK2l7WJ3RER9xtqwdhxkhw/edit?usp=sharing"",""ราชบุรี!I126"")"),0)</f>
        <v>0</v>
      </c>
      <c r="J201" s="189">
        <f ca="1">IFERROR(__xludf.DUMMYFUNCTION("IMPORTRANGE(""https://docs.google.com/spreadsheets/d/1SX6NBoVAgQJ6U1MVXOaj8PK2l7WJ3RER9xtqwdhxkhw/edit?usp=sharing"",""ราชบุรี!J126"")"),0)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IFERROR(__xludf.DUMMYFUNCTION("IMPORTRANGE(""https://docs.google.com/spreadsheets/d/1SX6NBoVAgQJ6U1MVXOaj8PK2l7WJ3RER9xtqwdhxkhw/edit?usp=sharing"",""ราชบุรี!J127"")"),0)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IFERROR(__xludf.DUMMYFUNCTION("IMPORTRANGE(""https://docs.google.com/spreadsheets/d/1SX6NBoVAgQJ6U1MVXOaj8PK2l7WJ3RER9xtqwdhxkhw/edit?usp=sharing"",""ราชบุรี!J128"")"),0)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IFERROR(__xludf.DUMMYFUNCTION("IMPORTRANGE(""https://docs.google.com/spreadsheets/d/1SX6NBoVAgQJ6U1MVXOaj8PK2l7WJ3RER9xtqwdhxkhw/edit?usp=sharing"",""ราชบุรี!I129"")"),0)</f>
        <v>0</v>
      </c>
      <c r="J204" s="284">
        <f ca="1">IFERROR(__xludf.DUMMYFUNCTION("IMPORTRANGE(""https://docs.google.com/spreadsheets/d/1SX6NBoVAgQJ6U1MVXOaj8PK2l7WJ3RER9xtqwdhxkhw/edit?usp=sharing"",""ราชบุรี!J129"")"),0)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IFERROR(__xludf.DUMMYFUNCTION("IMPORTRANGE(""https://docs.google.com/spreadsheets/d/1SX6NBoVAgQJ6U1MVXOaj8PK2l7WJ3RER9xtqwdhxkhw/edit?usp=sharing"",""ราชบุรี!J134"")"),0)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IFERROR(__xludf.DUMMYFUNCTION("IMPORTRANGE(""https://docs.google.com/spreadsheets/d/1SX6NBoVAgQJ6U1MVXOaj8PK2l7WJ3RER9xtqwdhxkhw/edit?usp=sharing"",""ราชบุรี!J135"")"),0)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IFERROR(__xludf.DUMMYFUNCTION("IMPORTRANGE(""https://docs.google.com/spreadsheets/d/1SX6NBoVAgQJ6U1MVXOaj8PK2l7WJ3RER9xtqwdhxkhw/edit?usp=sharing"",""ราชบุรี!J136"")"),0)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IFERROR(__xludf.DUMMYFUNCTION("IMPORTRANGE(""https://docs.google.com/spreadsheets/d/1SX6NBoVAgQJ6U1MVXOaj8PK2l7WJ3RER9xtqwdhxkhw/edit?usp=sharing"",""ราชบุรี!J137"")"),0)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IFERROR(__xludf.DUMMYFUNCTION("IMPORTRANGE(""https://docs.google.com/spreadsheets/d/1SX6NBoVAgQJ6U1MVXOaj8PK2l7WJ3RER9xtqwdhxkhw/edit?usp=sharing"",""ราชบุรี!I138"")"),0)</f>
        <v>0</v>
      </c>
      <c r="J213" s="204">
        <f ca="1">IFERROR(__xludf.DUMMYFUNCTION("IMPORTRANGE(""https://docs.google.com/spreadsheets/d/1SX6NBoVAgQJ6U1MVXOaj8PK2l7WJ3RER9xtqwdhxkhw/edit?usp=sharing"",""ราชบุรี!J138"")"),0)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IFERROR(__xludf.DUMMYFUNCTION("IMPORTRANGE(""https://docs.google.com/spreadsheets/d/1SX6NBoVAgQJ6U1MVXOaj8PK2l7WJ3RER9xtqwdhxkhw/edit?usp=sharing"",""ราชบุรี!I140"")"),0)</f>
        <v>0</v>
      </c>
      <c r="J215" s="204">
        <f ca="1">IFERROR(__xludf.DUMMYFUNCTION("IMPORTRANGE(""https://docs.google.com/spreadsheets/d/1SX6NBoVAgQJ6U1MVXOaj8PK2l7WJ3RER9xtqwdhxkhw/edit?usp=sharing"",""ราชบุรี!J140"")"),0)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IFERROR(__xludf.DUMMYFUNCTION("IMPORTRANGE(""https://docs.google.com/spreadsheets/d/1SX6NBoVAgQJ6U1MVXOaj8PK2l7WJ3RER9xtqwdhxkhw/edit?usp=sharing"",""ราชบุรี!I141"")"),0)</f>
        <v>0</v>
      </c>
      <c r="J216" s="204">
        <f ca="1">IFERROR(__xludf.DUMMYFUNCTION("IMPORTRANGE(""https://docs.google.com/spreadsheets/d/1SX6NBoVAgQJ6U1MVXOaj8PK2l7WJ3RER9xtqwdhxkhw/edit?usp=sharing"",""ราชบุรี!J141"")"),0)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IFERROR(__xludf.DUMMYFUNCTION("IMPORTRANGE(""https://docs.google.com/spreadsheets/d/1SX6NBoVAgQJ6U1MVXOaj8PK2l7WJ3RER9xtqwdhxkhw/edit?usp=sharing"",""ราชบุรี!J142"")"),0)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IFERROR(__xludf.DUMMYFUNCTION("IMPORTRANGE(""https://docs.google.com/spreadsheets/d/1SX6NBoVAgQJ6U1MVXOaj8PK2l7WJ3RER9xtqwdhxkhw/edit?usp=sharing"",""ราชบุรี!J143"")"),0)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IFERROR(__xludf.DUMMYFUNCTION("IMPORTRANGE(""https://docs.google.com/spreadsheets/d/1SX6NBoVAgQJ6U1MVXOaj8PK2l7WJ3RER9xtqwdhxkhw/edit?usp=sharing"",""ราชบุรี!I144"")"),15)</f>
        <v>15</v>
      </c>
      <c r="J219" s="267">
        <f ca="1">IFERROR(__xludf.DUMMYFUNCTION("IMPORTRANGE(""https://docs.google.com/spreadsheets/d/1SX6NBoVAgQJ6U1MVXOaj8PK2l7WJ3RER9xtqwdhxkhw/edit?usp=sharing"",""ราชบุรี!J144"")"),15)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IFERROR(__xludf.DUMMYFUNCTION("IMPORTRANGE(""https://docs.google.com/spreadsheets/d/1Yj_ptqi66GCucihVvJfMjLAmec39IyEx_6qawtMGysU/edit?usp=sharing"",""สบก!BS73"")"),21125)</f>
        <v>21125</v>
      </c>
      <c r="N224" s="169">
        <f ca="1">IFERROR(__xludf.DUMMYFUNCTION("IMPORTRANGE(""https://docs.google.com/spreadsheets/d/1Yj_ptqi66GCucihVvJfMjLAmec39IyEx_6qawtMGysU/edit?usp=sharing"",""สบก!BT73"")"),21125)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IFERROR(__xludf.DUMMYFUNCTION("IMPORTRANGE(""https://docs.google.com/spreadsheets/d/1Yj_ptqi66GCucihVvJfMjLAmec39IyEx_6qawtMGysU/edit?usp=sharing"",""สบก!BO73"")"),0)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IFERROR(__xludf.DUMMYFUNCTION("IMPORTRANGE(""https://docs.google.com/spreadsheets/d/1Yj_ptqi66GCucihVvJfMjLAmec39IyEx_6qawtMGysU/edit?usp=sharing"",""สบก!BP73"")"),21125)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IFERROR(__xludf.DUMMYFUNCTION("IMPORTRANGE(""https://docs.google.com/spreadsheets/d/1Yj_ptqi66GCucihVvJfMjLAmec39IyEx_6qawtMGysU/edit?usp=sharing"",""สบก!BQ73"")"),0)</f>
        <v>0</v>
      </c>
      <c r="M228" s="49"/>
      <c r="N228" s="49">
        <f ca="1">IFERROR(__xludf.DUMMYFUNCTION("IMPORTRANGE(""https://docs.google.com/spreadsheets/d/1Yj_ptqi66GCucihVvJfMjLAmec39IyEx_6qawtMGysU/edit?usp=sharing"",""สบก!BU73"")"),0)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IFERROR(__xludf.DUMMYFUNCTION("IMPORTRANGE(""https://docs.google.com/spreadsheets/d/1SX6NBoVAgQJ6U1MVXOaj8PK2l7WJ3RER9xtqwdhxkhw/edit?usp=sharing"",""ราชบุรี!I149"")"),15)</f>
        <v>15</v>
      </c>
      <c r="J229" s="267">
        <f ca="1">IFERROR(__xludf.DUMMYFUNCTION("IMPORTRANGE(""https://docs.google.com/spreadsheets/d/1SX6NBoVAgQJ6U1MVXOaj8PK2l7WJ3RER9xtqwdhxkhw/edit?usp=sharing"",""ราชบุรี!J149"")"),15)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IFERROR(__xludf.DUMMYFUNCTION("IMPORTRANGE(""https://docs.google.com/spreadsheets/d/1SX6NBoVAgQJ6U1MVXOaj8PK2l7WJ3RER9xtqwdhxkhw/edit?usp=sharing"",""ราชบุรี!J151"")"),0)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IFERROR(__xludf.DUMMYFUNCTION("IMPORTRANGE(""https://docs.google.com/spreadsheets/d/1SX6NBoVAgQJ6U1MVXOaj8PK2l7WJ3RER9xtqwdhxkhw/edit?usp=sharing"",""ราชบุรี!J152"")"),0)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IFERROR(__xludf.DUMMYFUNCTION("IMPORTRANGE(""https://docs.google.com/spreadsheets/d/1SX6NBoVAgQJ6U1MVXOaj8PK2l7WJ3RER9xtqwdhxkhw/edit?usp=sharing"",""ราชบุรี!J153"")"),0)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IFERROR(__xludf.DUMMYFUNCTION("IMPORTRANGE(""https://docs.google.com/spreadsheets/d/1SX6NBoVAgQJ6U1MVXOaj8PK2l7WJ3RER9xtqwdhxkhw/edit?usp=sharing"",""ราชบุรี!J154"")"),0)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IFERROR(__xludf.DUMMYFUNCTION("IMPORTRANGE(""https://docs.google.com/spreadsheets/d/1SX6NBoVAgQJ6U1MVXOaj8PK2l7WJ3RER9xtqwdhxkhw/edit?usp=sharing"",""ราชบุรี!I155"")"),15)</f>
        <v>15</v>
      </c>
      <c r="J235" s="189">
        <f ca="1">IFERROR(__xludf.DUMMYFUNCTION("IMPORTRANGE(""https://docs.google.com/spreadsheets/d/1SX6NBoVAgQJ6U1MVXOaj8PK2l7WJ3RER9xtqwdhxkhw/edit?usp=sharing"",""ราชบุรี!J155"")"),15)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IFERROR(__xludf.DUMMYFUNCTION("IMPORTRANGE(""https://docs.google.com/spreadsheets/d/1SX6NBoVAgQJ6U1MVXOaj8PK2l7WJ3RER9xtqwdhxkhw/edit?usp=sharing"",""ราชบุรี!J156"")"),1)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IFERROR(__xludf.DUMMYFUNCTION("IMPORTRANGE(""https://docs.google.com/spreadsheets/d/1SX6NBoVAgQJ6U1MVXOaj8PK2l7WJ3RER9xtqwdhxkhw/edit?usp=sharing"",""ราชบุรี!J157"")"),1)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IFERROR(__xludf.DUMMYFUNCTION("IMPORTRANGE(""https://docs.google.com/spreadsheets/d/1SX6NBoVAgQJ6U1MVXOaj8PK2l7WJ3RER9xtqwdhxkhw/edit?usp=sharing"",""ราชบุรี!I158"")"),0)</f>
        <v>0</v>
      </c>
      <c r="J238" s="267">
        <f ca="1">IFERROR(__xludf.DUMMYFUNCTION("IMPORTRANGE(""https://docs.google.com/spreadsheets/d/1SX6NBoVAgQJ6U1MVXOaj8PK2l7WJ3RER9xtqwdhxkhw/edit?usp=sharing"",""ราชบุรี!J158"")"),0)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IFERROR(__xludf.DUMMYFUNCTION("IMPORTRANGE(""https://docs.google.com/spreadsheets/d/1SX6NBoVAgQJ6U1MVXOaj8PK2l7WJ3RER9xtqwdhxkhw/edit?usp=sharing"",""ราชบุรี!J159"")"),"")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IFERROR(__xludf.DUMMYFUNCTION("IMPORTRANGE(""https://docs.google.com/spreadsheets/d/1SX6NBoVAgQJ6U1MVXOaj8PK2l7WJ3RER9xtqwdhxkhw/edit?usp=sharing"",""ราชบุรี!J161"")"),0)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IFERROR(__xludf.DUMMYFUNCTION("IMPORTRANGE(""https://docs.google.com/spreadsheets/d/1SX6NBoVAgQJ6U1MVXOaj8PK2l7WJ3RER9xtqwdhxkhw/edit?usp=sharing"",""ราชบุรี!J162"")"),0)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IFERROR(__xludf.DUMMYFUNCTION("IMPORTRANGE(""https://docs.google.com/spreadsheets/d/1SX6NBoVAgQJ6U1MVXOaj8PK2l7WJ3RER9xtqwdhxkhw/edit?usp=sharing"",""ราชบุรี!J163"")"),0)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IFERROR(__xludf.DUMMYFUNCTION("IMPORTRANGE(""https://docs.google.com/spreadsheets/d/1SX6NBoVAgQJ6U1MVXOaj8PK2l7WJ3RER9xtqwdhxkhw/edit?usp=sharing"",""ราชบุรี!I164"")"),0)</f>
        <v>0</v>
      </c>
      <c r="J244" s="188">
        <f ca="1">IFERROR(__xludf.DUMMYFUNCTION("IMPORTRANGE(""https://docs.google.com/spreadsheets/d/1SX6NBoVAgQJ6U1MVXOaj8PK2l7WJ3RER9xtqwdhxkhw/edit?usp=sharing"",""ราชบุรี!J164"")"),0)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IFERROR(__xludf.DUMMYFUNCTION("IMPORTRANGE(""https://docs.google.com/spreadsheets/d/1SX6NBoVAgQJ6U1MVXOaj8PK2l7WJ3RER9xtqwdhxkhw/edit?usp=sharing"",""ราชบุรี!J165"")"),0)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IFERROR(__xludf.DUMMYFUNCTION("IMPORTRANGE(""https://docs.google.com/spreadsheets/d/1SX6NBoVAgQJ6U1MVXOaj8PK2l7WJ3RER9xtqwdhxkhw/edit?usp=sharing"",""ราชบุรี!J166"")"),0)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IFERROR(__xludf.DUMMYFUNCTION("IMPORTRANGE(""https://docs.google.com/spreadsheets/d/1SX6NBoVAgQJ6U1MVXOaj8PK2l7WJ3RER9xtqwdhxkhw/edit?usp=sharing"",""ราชบุรี!I169"")"),0)</f>
        <v>0</v>
      </c>
      <c r="J249" s="316">
        <f ca="1">IFERROR(__xludf.DUMMYFUNCTION("IMPORTRANGE(""https://docs.google.com/spreadsheets/d/1SX6NBoVAgQJ6U1MVXOaj8PK2l7WJ3RER9xtqwdhxkhw/edit?usp=sharing"",""ราชบุรี!J169"")"),0)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IFERROR(__xludf.DUMMYFUNCTION("IMPORTRANGE(""https://docs.google.com/spreadsheets/d/1Yj_ptqi66GCucihVvJfMjLAmec39IyEx_6qawtMGysU/edit?usp=sharing"",""สบก!CB73"")"),0)</f>
        <v>0</v>
      </c>
      <c r="N254" s="169">
        <f ca="1">IFERROR(__xludf.DUMMYFUNCTION("IMPORTRANGE(""https://docs.google.com/spreadsheets/d/1Yj_ptqi66GCucihVvJfMjLAmec39IyEx_6qawtMGysU/edit?usp=sharing"",""สบก!CC73"")"),0)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IFERROR(__xludf.DUMMYFUNCTION("IMPORTRANGE(""https://docs.google.com/spreadsheets/d/1Yj_ptqi66GCucihVvJfMjLAmec39IyEx_6qawtMGysU/edit?usp=sharing"",""สบก!BX73"")"),0)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IFERROR(__xludf.DUMMYFUNCTION("IMPORTRANGE(""https://docs.google.com/spreadsheets/d/1Yj_ptqi66GCucihVvJfMjLAmec39IyEx_6qawtMGysU/edit?usp=sharing"",""สบก!BY73"")"),0)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IFERROR(__xludf.DUMMYFUNCTION("IMPORTRANGE(""https://docs.google.com/spreadsheets/d/1Yj_ptqi66GCucihVvJfMjLAmec39IyEx_6qawtMGysU/edit?usp=sharing"",""สบก!BZ73"")"),0)</f>
        <v>0</v>
      </c>
      <c r="M258" s="49"/>
      <c r="N258" s="49">
        <f ca="1">IFERROR(__xludf.DUMMYFUNCTION("IMPORTRANGE(""https://docs.google.com/spreadsheets/d/1Yj_ptqi66GCucihVvJfMjLAmec39IyEx_6qawtMGysU/edit?usp=sharing"",""สบก!CD73"")"),0)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IFERROR(__xludf.DUMMYFUNCTION("IMPORTRANGE(""https://docs.google.com/spreadsheets/d/1SX6NBoVAgQJ6U1MVXOaj8PK2l7WJ3RER9xtqwdhxkhw/edit?usp=sharing"",""ราชบุรี!J175"")"),0)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IFERROR(__xludf.DUMMYFUNCTION("IMPORTRANGE(""https://docs.google.com/spreadsheets/d/1SX6NBoVAgQJ6U1MVXOaj8PK2l7WJ3RER9xtqwdhxkhw/edit?usp=sharing"",""ราชบุรี!J176"")"),0)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IFERROR(__xludf.DUMMYFUNCTION("IMPORTRANGE(""https://docs.google.com/spreadsheets/d/1SX6NBoVAgQJ6U1MVXOaj8PK2l7WJ3RER9xtqwdhxkhw/edit?usp=sharing"",""ราชบุรี!J177"")"),0)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IFERROR(__xludf.DUMMYFUNCTION("IMPORTRANGE(""https://docs.google.com/spreadsheets/d/1SX6NBoVAgQJ6U1MVXOaj8PK2l7WJ3RER9xtqwdhxkhw/edit?usp=sharing"",""ราชบุรี!J178"")"),0)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IFERROR(__xludf.DUMMYFUNCTION("IMPORTRANGE(""https://docs.google.com/spreadsheets/d/1SX6NBoVAgQJ6U1MVXOaj8PK2l7WJ3RER9xtqwdhxkhw/edit?usp=sharing"",""ราชบุรี!I179"")"),0)</f>
        <v>0</v>
      </c>
      <c r="J264" s="189">
        <f ca="1">IFERROR(__xludf.DUMMYFUNCTION("IMPORTRANGE(""https://docs.google.com/spreadsheets/d/1SX6NBoVAgQJ6U1MVXOaj8PK2l7WJ3RER9xtqwdhxkhw/edit?usp=sharing"",""ราชบุรี!J179"")"),0)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IFERROR(__xludf.DUMMYFUNCTION("IMPORTRANGE(""https://docs.google.com/spreadsheets/d/1SX6NBoVAgQJ6U1MVXOaj8PK2l7WJ3RER9xtqwdhxkhw/edit?usp=sharing"",""ราชบุรี!I180"")"),0)</f>
        <v>0</v>
      </c>
      <c r="J265" s="189">
        <f ca="1">IFERROR(__xludf.DUMMYFUNCTION("IMPORTRANGE(""https://docs.google.com/spreadsheets/d/1SX6NBoVAgQJ6U1MVXOaj8PK2l7WJ3RER9xtqwdhxkhw/edit?usp=sharing"",""ราชบุรี!J180"")"),0)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IFERROR(__xludf.DUMMYFUNCTION("IMPORTRANGE(""https://docs.google.com/spreadsheets/d/1SX6NBoVAgQJ6U1MVXOaj8PK2l7WJ3RER9xtqwdhxkhw/edit?usp=sharing"",""ราชบุรี!I181"")"),0)</f>
        <v>0</v>
      </c>
      <c r="J266" s="189">
        <f ca="1">IFERROR(__xludf.DUMMYFUNCTION("IMPORTRANGE(""https://docs.google.com/spreadsheets/d/1SX6NBoVAgQJ6U1MVXOaj8PK2l7WJ3RER9xtqwdhxkhw/edit?usp=sharing"",""ราชบุรี!J181"")"),0)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IFERROR(__xludf.DUMMYFUNCTION("IMPORTRANGE(""https://docs.google.com/spreadsheets/d/1SX6NBoVAgQJ6U1MVXOaj8PK2l7WJ3RER9xtqwdhxkhw/edit?usp=sharing"",""ราชบุรี!I182"")"),0)</f>
        <v>0</v>
      </c>
      <c r="J267" s="189">
        <f ca="1">IFERROR(__xludf.DUMMYFUNCTION("IMPORTRANGE(""https://docs.google.com/spreadsheets/d/1SX6NBoVAgQJ6U1MVXOaj8PK2l7WJ3RER9xtqwdhxkhw/edit?usp=sharing"",""ราชบุรี!J182"")"),0)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IFERROR(__xludf.DUMMYFUNCTION("IMPORTRANGE(""https://docs.google.com/spreadsheets/d/1SX6NBoVAgQJ6U1MVXOaj8PK2l7WJ3RER9xtqwdhxkhw/edit?usp=sharing"",""ราชบุรี!J183"")"),0)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IFERROR(__xludf.DUMMYFUNCTION("IMPORTRANGE(""https://docs.google.com/spreadsheets/d/1SX6NBoVAgQJ6U1MVXOaj8PK2l7WJ3RER9xtqwdhxkhw/edit?usp=sharing"",""ราชบุรี!J184"")"),0)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IFERROR(__xludf.DUMMYFUNCTION("IMPORTRANGE(""https://docs.google.com/spreadsheets/d/1SX6NBoVAgQJ6U1MVXOaj8PK2l7WJ3RER9xtqwdhxkhw/edit?usp=sharing"",""ราชบุรี!I185"")"),15)</f>
        <v>15</v>
      </c>
      <c r="J270" s="316">
        <f ca="1">IFERROR(__xludf.DUMMYFUNCTION("IMPORTRANGE(""https://docs.google.com/spreadsheets/d/1SX6NBoVAgQJ6U1MVXOaj8PK2l7WJ3RER9xtqwdhxkhw/edit?usp=sharing"",""ราชบุรี!J185"")"),15)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131250</v>
      </c>
      <c r="N271" s="152">
        <f t="shared" ca="1" si="83"/>
        <v>80745.33</v>
      </c>
      <c r="O271" s="151">
        <f t="shared" ref="O271:O273" ca="1" si="84">IF(L271&gt;0,N271*100/L271,0)</f>
        <v>43.133189102564103</v>
      </c>
      <c r="P271" s="151">
        <f t="shared" ref="P271:P273" ca="1" si="85">IF(M271&gt;0,N271*100/M271,0)</f>
        <v>61.520251428571427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187200</v>
      </c>
      <c r="M273" s="157">
        <f t="shared" ca="1" si="87"/>
        <v>131250</v>
      </c>
      <c r="N273" s="157">
        <f t="shared" ca="1" si="87"/>
        <v>80745.33</v>
      </c>
      <c r="O273" s="156">
        <f t="shared" ca="1" si="84"/>
        <v>43.133189102564103</v>
      </c>
      <c r="P273" s="156">
        <f t="shared" ca="1" si="85"/>
        <v>61.520251428571427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187200</v>
      </c>
      <c r="M275" s="168">
        <f ca="1">IFERROR(__xludf.DUMMYFUNCTION("IMPORTRANGE(""https://docs.google.com/spreadsheets/d/1Yj_ptqi66GCucihVvJfMjLAmec39IyEx_6qawtMGysU/edit?usp=sharing"",""สบก!CK73"")"),131250)</f>
        <v>131250</v>
      </c>
      <c r="N275" s="169">
        <f ca="1">IFERROR(__xludf.DUMMYFUNCTION("IMPORTRANGE(""https://docs.google.com/spreadsheets/d/1Yj_ptqi66GCucihVvJfMjLAmec39IyEx_6qawtMGysU/edit?usp=sharing"",""สบก!CL73"")"),80745.33)</f>
        <v>80745.33</v>
      </c>
      <c r="O275" s="169">
        <f ca="1">IF(L275&gt;0,N275*100/L275,0)</f>
        <v>43.133189102564103</v>
      </c>
      <c r="P275" s="169">
        <f ca="1">IF(M275&gt;0,N275*100/M275,0)</f>
        <v>61.520251428571427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IFERROR(__xludf.DUMMYFUNCTION("IMPORTRANGE(""https://docs.google.com/spreadsheets/d/1Yj_ptqi66GCucihVvJfMjLAmec39IyEx_6qawtMGysU/edit?usp=sharing"",""สบก!CG73"")"),132000)</f>
        <v>132000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IFERROR(__xludf.DUMMYFUNCTION("IMPORTRANGE(""https://docs.google.com/spreadsheets/d/1Yj_ptqi66GCucihVvJfMjLAmec39IyEx_6qawtMGysU/edit?usp=sharing"",""สบก!CH73"")"),55200)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IFERROR(__xludf.DUMMYFUNCTION("IMPORTRANGE(""https://docs.google.com/spreadsheets/d/1Yj_ptqi66GCucihVvJfMjLAmec39IyEx_6qawtMGysU/edit?usp=sharing"",""สบก!CI73"")"),0)</f>
        <v>0</v>
      </c>
      <c r="M279" s="49"/>
      <c r="N279" s="49">
        <f ca="1">IFERROR(__xludf.DUMMYFUNCTION("IMPORTRANGE(""https://docs.google.com/spreadsheets/d/1Yj_ptqi66GCucihVvJfMjLAmec39IyEx_6qawtMGysU/edit?usp=sharing"",""สบก!CM73"")"),0)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IFERROR(__xludf.DUMMYFUNCTION("IMPORTRANGE(""https://docs.google.com/spreadsheets/d/1SX6NBoVAgQJ6U1MVXOaj8PK2l7WJ3RER9xtqwdhxkhw/edit?usp=sharing"",""ราชบุรี!J191"")"),0)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IFERROR(__xludf.DUMMYFUNCTION("IMPORTRANGE(""https://docs.google.com/spreadsheets/d/1SX6NBoVAgQJ6U1MVXOaj8PK2l7WJ3RER9xtqwdhxkhw/edit?usp=sharing"",""ราชบุรี!J192"")"),1)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IFERROR(__xludf.DUMMYFUNCTION("IMPORTRANGE(""https://docs.google.com/spreadsheets/d/1SX6NBoVAgQJ6U1MVXOaj8PK2l7WJ3RER9xtqwdhxkhw/edit?usp=sharing"",""ราชบุรี!J193"")"),1)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IFERROR(__xludf.DUMMYFUNCTION("IMPORTRANGE(""https://docs.google.com/spreadsheets/d/1SX6NBoVAgQJ6U1MVXOaj8PK2l7WJ3RER9xtqwdhxkhw/edit?usp=sharing"",""ราชบุรี!J194"")"),1)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IFERROR(__xludf.DUMMYFUNCTION("IMPORTRANGE(""https://docs.google.com/spreadsheets/d/1SX6NBoVAgQJ6U1MVXOaj8PK2l7WJ3RER9xtqwdhxkhw/edit?usp=sharing"",""ราชบุรี!I195"")"),15)</f>
        <v>15</v>
      </c>
      <c r="J285" s="189">
        <f ca="1">IFERROR(__xludf.DUMMYFUNCTION("IMPORTRANGE(""https://docs.google.com/spreadsheets/d/1SX6NBoVAgQJ6U1MVXOaj8PK2l7WJ3RER9xtqwdhxkhw/edit?usp=sharing"",""ราชบุรี!J195"")"),15)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IFERROR(__xludf.DUMMYFUNCTION("IMPORTRANGE(""https://docs.google.com/spreadsheets/d/1SX6NBoVAgQJ6U1MVXOaj8PK2l7WJ3RER9xtqwdhxkhw/edit?usp=sharing"",""ราชบุรี!J196"")"),0)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IFERROR(__xludf.DUMMYFUNCTION("IMPORTRANGE(""https://docs.google.com/spreadsheets/d/1SX6NBoVAgQJ6U1MVXOaj8PK2l7WJ3RER9xtqwdhxkhw/edit?usp=sharing"",""ราชบุรี!J197"")"),0)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IFERROR(__xludf.DUMMYFUNCTION("IMPORTRANGE(""https://docs.google.com/spreadsheets/d/1SX6NBoVAgQJ6U1MVXOaj8PK2l7WJ3RER9xtqwdhxkhw/edit?usp=sharing"",""ราชบุรี!I199"")"),0)</f>
        <v>0</v>
      </c>
      <c r="J289" s="316">
        <f ca="1">IFERROR(__xludf.DUMMYFUNCTION("IMPORTRANGE(""https://docs.google.com/spreadsheets/d/1SX6NBoVAgQJ6U1MVXOaj8PK2l7WJ3RER9xtqwdhxkhw/edit?usp=sharing"",""ราชบุรี!J199"")"),0)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IFERROR(__xludf.DUMMYFUNCTION("IMPORTRANGE(""https://docs.google.com/spreadsheets/d/1Yj_ptqi66GCucihVvJfMjLAmec39IyEx_6qawtMGysU/edit?usp=sharing"",""สบก!CT73"")"),0)</f>
        <v>0</v>
      </c>
      <c r="N294" s="169">
        <f ca="1">IFERROR(__xludf.DUMMYFUNCTION("IMPORTRANGE(""https://docs.google.com/spreadsheets/d/1Yj_ptqi66GCucihVvJfMjLAmec39IyEx_6qawtMGysU/edit?usp=sharing"",""สบก!CU73"")"),0)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IFERROR(__xludf.DUMMYFUNCTION("IMPORTRANGE(""https://docs.google.com/spreadsheets/d/1Yj_ptqi66GCucihVvJfMjLAmec39IyEx_6qawtMGysU/edit?usp=sharing"",""สบก!CP73"")"),0)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IFERROR(__xludf.DUMMYFUNCTION("IMPORTRANGE(""https://docs.google.com/spreadsheets/d/1Yj_ptqi66GCucihVvJfMjLAmec39IyEx_6qawtMGysU/edit?usp=sharing"",""สบก!CQ73"")"),0)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IFERROR(__xludf.DUMMYFUNCTION("IMPORTRANGE(""https://docs.google.com/spreadsheets/d/1Yj_ptqi66GCucihVvJfMjLAmec39IyEx_6qawtMGysU/edit?usp=sharing"",""สบก!CR73"")"),0)</f>
        <v>0</v>
      </c>
      <c r="M298" s="49"/>
      <c r="N298" s="49">
        <f ca="1">IFERROR(__xludf.DUMMYFUNCTION("IMPORTRANGE(""https://docs.google.com/spreadsheets/d/1Yj_ptqi66GCucihVvJfMjLAmec39IyEx_6qawtMGysU/edit?usp=sharing"",""สบก!CV73"")"),0)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IFERROR(__xludf.DUMMYFUNCTION("IMPORTRANGE(""https://docs.google.com/spreadsheets/d/1SX6NBoVAgQJ6U1MVXOaj8PK2l7WJ3RER9xtqwdhxkhw/edit?usp=sharing"",""ราชบุรี!J205"")"),0)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IFERROR(__xludf.DUMMYFUNCTION("IMPORTRANGE(""https://docs.google.com/spreadsheets/d/1SX6NBoVAgQJ6U1MVXOaj8PK2l7WJ3RER9xtqwdhxkhw/edit?usp=sharing"",""ราชบุรี!J206"")"),0)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IFERROR(__xludf.DUMMYFUNCTION("IMPORTRANGE(""https://docs.google.com/spreadsheets/d/1SX6NBoVAgQJ6U1MVXOaj8PK2l7WJ3RER9xtqwdhxkhw/edit?usp=sharing"",""ราชบุรี!J207"")"),0)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IFERROR(__xludf.DUMMYFUNCTION("IMPORTRANGE(""https://docs.google.com/spreadsheets/d/1SX6NBoVAgQJ6U1MVXOaj8PK2l7WJ3RER9xtqwdhxkhw/edit?usp=sharing"",""ราชบุรี!J208"")"),0)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IFERROR(__xludf.DUMMYFUNCTION("IMPORTRANGE(""https://docs.google.com/spreadsheets/d/1SX6NBoVAgQJ6U1MVXOaj8PK2l7WJ3RER9xtqwdhxkhw/edit?usp=sharing"",""ราชบุรี!I209"")"),0)</f>
        <v>0</v>
      </c>
      <c r="J304" s="204">
        <f ca="1">IFERROR(__xludf.DUMMYFUNCTION("IMPORTRANGE(""https://docs.google.com/spreadsheets/d/1SX6NBoVAgQJ6U1MVXOaj8PK2l7WJ3RER9xtqwdhxkhw/edit?usp=sharing"",""ราชบุรี!J209"")"),0)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IFERROR(__xludf.DUMMYFUNCTION("IMPORTRANGE(""https://docs.google.com/spreadsheets/d/1SX6NBoVAgQJ6U1MVXOaj8PK2l7WJ3RER9xtqwdhxkhw/edit?usp=sharing"",""ราชบุรี!I211"")"),0)</f>
        <v>0</v>
      </c>
      <c r="J306" s="204">
        <f ca="1">IFERROR(__xludf.DUMMYFUNCTION("IMPORTRANGE(""https://docs.google.com/spreadsheets/d/1SX6NBoVAgQJ6U1MVXOaj8PK2l7WJ3RER9xtqwdhxkhw/edit?usp=sharing"",""ราชบุรี!J211"")"),0)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IFERROR(__xludf.DUMMYFUNCTION("IMPORTRANGE(""https://docs.google.com/spreadsheets/d/1SX6NBoVAgQJ6U1MVXOaj8PK2l7WJ3RER9xtqwdhxkhw/edit?usp=sharing"",""ราชบุรี!J212"")"),0)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IFERROR(__xludf.DUMMYFUNCTION("IMPORTRANGE(""https://docs.google.com/spreadsheets/d/1SX6NBoVAgQJ6U1MVXOaj8PK2l7WJ3RER9xtqwdhxkhw/edit?usp=sharing"",""ราชบุรี!J213"")"),0)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IFERROR(__xludf.DUMMYFUNCTION("IMPORTRANGE(""https://docs.google.com/spreadsheets/d/1SX6NBoVAgQJ6U1MVXOaj8PK2l7WJ3RER9xtqwdhxkhw/edit?usp=sharing"",""ราชบุรี!I214"")"),0)</f>
        <v>0</v>
      </c>
      <c r="J309" s="333">
        <f ca="1">IFERROR(__xludf.DUMMYFUNCTION("IMPORTRANGE(""https://docs.google.com/spreadsheets/d/1SX6NBoVAgQJ6U1MVXOaj8PK2l7WJ3RER9xtqwdhxkhw/edit?usp=sharing"",""ราชบุรี!J214"")"),0)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IFERROR(__xludf.DUMMYFUNCTION("IMPORTRANGE(""https://docs.google.com/spreadsheets/d/1Yj_ptqi66GCucihVvJfMjLAmec39IyEx_6qawtMGysU/edit?usp=sharing"",""สบก!DC73"")"),0)</f>
        <v>0</v>
      </c>
      <c r="N314" s="169">
        <f ca="1">IFERROR(__xludf.DUMMYFUNCTION("IMPORTRANGE(""https://docs.google.com/spreadsheets/d/1Yj_ptqi66GCucihVvJfMjLAmec39IyEx_6qawtMGysU/edit?usp=sharing"",""สบก!DD73"")"),0)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IFERROR(__xludf.DUMMYFUNCTION("IMPORTRANGE(""https://docs.google.com/spreadsheets/d/1Yj_ptqi66GCucihVvJfMjLAmec39IyEx_6qawtMGysU/edit?usp=sharing"",""สบก!CY73"")"),0)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IFERROR(__xludf.DUMMYFUNCTION("IMPORTRANGE(""https://docs.google.com/spreadsheets/d/1Yj_ptqi66GCucihVvJfMjLAmec39IyEx_6qawtMGysU/edit?usp=sharing"",""สบก!CZ73"")"),0)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IFERROR(__xludf.DUMMYFUNCTION("IMPORTRANGE(""https://docs.google.com/spreadsheets/d/1Yj_ptqi66GCucihVvJfMjLAmec39IyEx_6qawtMGysU/edit?usp=sharing"",""สบก!DA73"")"),0)</f>
        <v>0</v>
      </c>
      <c r="M318" s="49"/>
      <c r="N318" s="49">
        <f ca="1">IFERROR(__xludf.DUMMYFUNCTION("IMPORTRANGE(""https://docs.google.com/spreadsheets/d/1Yj_ptqi66GCucihVvJfMjLAmec39IyEx_6qawtMGysU/edit?usp=sharing"",""สบก!DE73"")"),0)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IFERROR(__xludf.DUMMYFUNCTION("IMPORTRANGE(""https://docs.google.com/spreadsheets/d/1SX6NBoVAgQJ6U1MVXOaj8PK2l7WJ3RER9xtqwdhxkhw/edit?usp=sharing"",""ราชบุรี!J220"")"),0)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IFERROR(__xludf.DUMMYFUNCTION("IMPORTRANGE(""https://docs.google.com/spreadsheets/d/1SX6NBoVAgQJ6U1MVXOaj8PK2l7WJ3RER9xtqwdhxkhw/edit?usp=sharing"",""ราชบุรี!J221"")"),0)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IFERROR(__xludf.DUMMYFUNCTION("IMPORTRANGE(""https://docs.google.com/spreadsheets/d/1SX6NBoVAgQJ6U1MVXOaj8PK2l7WJ3RER9xtqwdhxkhw/edit?usp=sharing"",""ราชบุรี!J222"")"),0)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IFERROR(__xludf.DUMMYFUNCTION("IMPORTRANGE(""https://docs.google.com/spreadsheets/d/1SX6NBoVAgQJ6U1MVXOaj8PK2l7WJ3RER9xtqwdhxkhw/edit?usp=sharing"",""ราชบุรี!J223"")"),0)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IFERROR(__xludf.DUMMYFUNCTION("IMPORTRANGE(""https://docs.google.com/spreadsheets/d/1SX6NBoVAgQJ6U1MVXOaj8PK2l7WJ3RER9xtqwdhxkhw/edit?usp=sharing"",""ราชบุรี!I224"")"),0)</f>
        <v>0</v>
      </c>
      <c r="J324" s="204">
        <f ca="1">IFERROR(__xludf.DUMMYFUNCTION("IMPORTRANGE(""https://docs.google.com/spreadsheets/d/1SX6NBoVAgQJ6U1MVXOaj8PK2l7WJ3RER9xtqwdhxkhw/edit?usp=sharing"",""ราชบุรี!J224"")"),0)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IFERROR(__xludf.DUMMYFUNCTION("IMPORTRANGE(""https://docs.google.com/spreadsheets/d/1SX6NBoVAgQJ6U1MVXOaj8PK2l7WJ3RER9xtqwdhxkhw/edit?usp=sharing"",""ราชบุรี!J225"")"),0)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IFERROR(__xludf.DUMMYFUNCTION("IMPORTRANGE(""https://docs.google.com/spreadsheets/d/1SX6NBoVAgQJ6U1MVXOaj8PK2l7WJ3RER9xtqwdhxkhw/edit?usp=sharing"",""ราชบุรี!J226"")"),0)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IFERROR(__xludf.DUMMYFUNCTION("IMPORTRANGE(""https://docs.google.com/spreadsheets/d/1SX6NBoVAgQJ6U1MVXOaj8PK2l7WJ3RER9xtqwdhxkhw/edit?usp=sharing"",""ราชบุรี!I228"")"),220)</f>
        <v>220</v>
      </c>
      <c r="J328" s="339">
        <f ca="1">IFERROR(__xludf.DUMMYFUNCTION("IMPORTRANGE(""https://docs.google.com/spreadsheets/d/1SX6NBoVAgQJ6U1MVXOaj8PK2l7WJ3RER9xtqwdhxkhw/edit?usp=sharing"",""ราชบุรี!J228"")"),40)</f>
        <v>40</v>
      </c>
      <c r="K328" s="317">
        <f ca="1">IF(I328&gt;0,J328*100/I328,0)</f>
        <v>18.181818181818183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955800</v>
      </c>
      <c r="M329" s="152">
        <f t="shared" ca="1" si="98"/>
        <v>705560</v>
      </c>
      <c r="N329" s="152">
        <f t="shared" ca="1" si="98"/>
        <v>482058.41</v>
      </c>
      <c r="O329" s="151">
        <f t="shared" ref="O329:O331" ca="1" si="99">IF(L329&gt;0,N329*100/L329,0)</f>
        <v>50.435071144590921</v>
      </c>
      <c r="P329" s="151">
        <f t="shared" ref="P329:P331" ca="1" si="100">IF(M329&gt;0,N329*100/M329,0)</f>
        <v>68.322808832700261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955800</v>
      </c>
      <c r="M331" s="157">
        <f t="shared" ca="1" si="102"/>
        <v>705560</v>
      </c>
      <c r="N331" s="157">
        <f t="shared" ca="1" si="102"/>
        <v>482058.41</v>
      </c>
      <c r="O331" s="156">
        <f t="shared" ca="1" si="99"/>
        <v>50.435071144590921</v>
      </c>
      <c r="P331" s="156">
        <f t="shared" ca="1" si="100"/>
        <v>68.322808832700261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921300</v>
      </c>
      <c r="M333" s="168">
        <f ca="1">IFERROR(__xludf.DUMMYFUNCTION("IMPORTRANGE(""https://docs.google.com/spreadsheets/d/1Yj_ptqi66GCucihVvJfMjLAmec39IyEx_6qawtMGysU/edit?usp=sharing"",""สบก!DL73"")"),671060)</f>
        <v>671060</v>
      </c>
      <c r="N333" s="169">
        <f ca="1">IFERROR(__xludf.DUMMYFUNCTION("IMPORTRANGE(""https://docs.google.com/spreadsheets/d/1Yj_ptqi66GCucihVvJfMjLAmec39IyEx_6qawtMGysU/edit?usp=sharing"",""สบก!DM73"")"),447558.41)</f>
        <v>447558.41</v>
      </c>
      <c r="O333" s="169">
        <f ca="1">IF(L333&gt;0,N333*100/L333,0)</f>
        <v>48.579009009009006</v>
      </c>
      <c r="P333" s="169">
        <f ca="1">IF(M333&gt;0,N333*100/M333,0)</f>
        <v>66.694246416117778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IFERROR(__xludf.DUMMYFUNCTION("IMPORTRANGE(""https://docs.google.com/spreadsheets/d/1Yj_ptqi66GCucihVvJfMjLAmec39IyEx_6qawtMGysU/edit?usp=sharing"",""สบก!DH73"")"),564000)</f>
        <v>564000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IFERROR(__xludf.DUMMYFUNCTION("IMPORTRANGE(""https://docs.google.com/spreadsheets/d/1Yj_ptqi66GCucihVvJfMjLAmec39IyEx_6qawtMGysU/edit?usp=sharing"",""สบก!DI73"")"),357300)</f>
        <v>357300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IFERROR(__xludf.DUMMYFUNCTION("IMPORTRANGE(""https://docs.google.com/spreadsheets/d/1Yj_ptqi66GCucihVvJfMjLAmec39IyEx_6qawtMGysU/edit?usp=sharing"",""สบก!DJ73"")"),34500)</f>
        <v>34500</v>
      </c>
      <c r="M337" s="49">
        <f ca="1">L337</f>
        <v>34500</v>
      </c>
      <c r="N337" s="49">
        <f ca="1">IFERROR(__xludf.DUMMYFUNCTION("IMPORTRANGE(""https://docs.google.com/spreadsheets/d/1Yj_ptqi66GCucihVvJfMjLAmec39IyEx_6qawtMGysU/edit?usp=sharing"",""สบก!DN73"")"),34500)</f>
        <v>34500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IFERROR(__xludf.DUMMYFUNCTION("IMPORTRANGE(""https://docs.google.com/spreadsheets/d/1SX6NBoVAgQJ6U1MVXOaj8PK2l7WJ3RER9xtqwdhxkhw/edit?usp=sharing"",""ราชบุรี!I234"")"),0)</f>
        <v>0</v>
      </c>
      <c r="J339" s="188">
        <f ca="1">IFERROR(__xludf.DUMMYFUNCTION("IMPORTRANGE(""https://docs.google.com/spreadsheets/d/1SX6NBoVAgQJ6U1MVXOaj8PK2l7WJ3RER9xtqwdhxkhw/edit?usp=sharing"",""ราชบุรี!J234"")"),60)</f>
        <v>60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IFERROR(__xludf.DUMMYFUNCTION("IMPORTRANGE(""https://docs.google.com/spreadsheets/d/1SX6NBoVAgQJ6U1MVXOaj8PK2l7WJ3RER9xtqwdhxkhw/edit?usp=sharing"",""ราชบุรี!I235"")"),2000)</f>
        <v>2000</v>
      </c>
      <c r="J340" s="188">
        <f ca="1">IFERROR(__xludf.DUMMYFUNCTION("IMPORTRANGE(""https://docs.google.com/spreadsheets/d/1SX6NBoVAgQJ6U1MVXOaj8PK2l7WJ3RER9xtqwdhxkhw/edit?usp=sharing"",""ราชบุรี!J235"")"),917.56)</f>
        <v>917.56</v>
      </c>
      <c r="K340" s="342">
        <f t="shared" ca="1" si="103"/>
        <v>45.878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IFERROR(__xludf.DUMMYFUNCTION("IMPORTRANGE(""https://docs.google.com/spreadsheets/d/1SX6NBoVAgQJ6U1MVXOaj8PK2l7WJ3RER9xtqwdhxkhw/edit?usp=sharing"",""ราชบุรี!I236"")"),220)</f>
        <v>220</v>
      </c>
      <c r="J341" s="188">
        <f ca="1">IFERROR(__xludf.DUMMYFUNCTION("IMPORTRANGE(""https://docs.google.com/spreadsheets/d/1SX6NBoVAgQJ6U1MVXOaj8PK2l7WJ3RER9xtqwdhxkhw/edit?usp=sharing"",""ราชบุรี!J236"")"),40)</f>
        <v>40</v>
      </c>
      <c r="K341" s="342">
        <f t="shared" ca="1" si="103"/>
        <v>18.181818181818183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IFERROR(__xludf.DUMMYFUNCTION("IMPORTRANGE(""https://docs.google.com/spreadsheets/d/1SX6NBoVAgQJ6U1MVXOaj8PK2l7WJ3RER9xtqwdhxkhw/edit?usp=sharing"",""ราชบุรี!I237"")"),0)</f>
        <v>0</v>
      </c>
      <c r="J342" s="188">
        <f ca="1">IFERROR(__xludf.DUMMYFUNCTION("IMPORTRANGE(""https://docs.google.com/spreadsheets/d/1SX6NBoVAgQJ6U1MVXOaj8PK2l7WJ3RER9xtqwdhxkhw/edit?usp=sharing"",""ราชบุรี!J237"")"),401.24)</f>
        <v>401.24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IFERROR(__xludf.DUMMYFUNCTION("IMPORTRANGE(""https://docs.google.com/spreadsheets/d/1SX6NBoVAgQJ6U1MVXOaj8PK2l7WJ3RER9xtqwdhxkhw/edit?usp=sharing"",""ราชบุรี!I238"")"),220)</f>
        <v>220</v>
      </c>
      <c r="J343" s="188">
        <f ca="1">IFERROR(__xludf.DUMMYFUNCTION("IMPORTRANGE(""https://docs.google.com/spreadsheets/d/1SX6NBoVAgQJ6U1MVXOaj8PK2l7WJ3RER9xtqwdhxkhw/edit?usp=sharing"",""ราชบุรี!J238"")"),0)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IFERROR(__xludf.DUMMYFUNCTION("IMPORTRANGE(""https://docs.google.com/spreadsheets/d/1SX6NBoVAgQJ6U1MVXOaj8PK2l7WJ3RER9xtqwdhxkhw/edit?usp=sharing"",""ราชบุรี!I239"")"),0)</f>
        <v>0</v>
      </c>
      <c r="J344" s="188">
        <f ca="1">IFERROR(__xludf.DUMMYFUNCTION("IMPORTRANGE(""https://docs.google.com/spreadsheets/d/1SX6NBoVAgQJ6U1MVXOaj8PK2l7WJ3RER9xtqwdhxkhw/edit?usp=sharing"",""ราชบุรี!J239"")"),0)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IFERROR(__xludf.DUMMYFUNCTION("IMPORTRANGE(""https://docs.google.com/spreadsheets/d/1SX6NBoVAgQJ6U1MVXOaj8PK2l7WJ3RER9xtqwdhxkhw/edit?usp=sharing"",""ราชบุรี!I240"")"),220)</f>
        <v>220</v>
      </c>
      <c r="J345" s="188">
        <f ca="1">IFERROR(__xludf.DUMMYFUNCTION("IMPORTRANGE(""https://docs.google.com/spreadsheets/d/1SX6NBoVAgQJ6U1MVXOaj8PK2l7WJ3RER9xtqwdhxkhw/edit?usp=sharing"",""ราชบุรี!J240"")"),40)</f>
        <v>40</v>
      </c>
      <c r="K345" s="342">
        <f t="shared" ca="1" si="103"/>
        <v>18.181818181818183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IFERROR(__xludf.DUMMYFUNCTION("IMPORTRANGE(""https://docs.google.com/spreadsheets/d/1SX6NBoVAgQJ6U1MVXOaj8PK2l7WJ3RER9xtqwdhxkhw/edit?usp=sharing"",""ราชบุรี!I241"")"),0)</f>
        <v>0</v>
      </c>
      <c r="J346" s="188">
        <f ca="1">IFERROR(__xludf.DUMMYFUNCTION("IMPORTRANGE(""https://docs.google.com/spreadsheets/d/1SX6NBoVAgQJ6U1MVXOaj8PK2l7WJ3RER9xtqwdhxkhw/edit?usp=sharing"",""ราชบุรี!J241"")"),383.63)</f>
        <v>383.63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IFERROR(__xludf.DUMMYFUNCTION("IMPORTRANGE(""https://docs.google.com/spreadsheets/d/1SX6NBoVAgQJ6U1MVXOaj8PK2l7WJ3RER9xtqwdhxkhw/edit?usp=sharing"",""ราชบุรี!L242"")"),1600132)</f>
        <v>1600132</v>
      </c>
      <c r="M347" s="358"/>
      <c r="N347" s="358">
        <f ca="1">IFERROR(__xludf.DUMMYFUNCTION("IMPORTRANGE(""https://docs.google.com/spreadsheets/d/1SX6NBoVAgQJ6U1MVXOaj8PK2l7WJ3RER9xtqwdhxkhw/edit?usp=sharing"",""ราชบุรี!M242"")"),564855.269999999)</f>
        <v>564855.26999999897</v>
      </c>
      <c r="O347" s="358">
        <f ca="1">+IF(L347&gt;0,N347*100/L347,0)</f>
        <v>35.300542080278312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IFERROR(__xludf.DUMMYFUNCTION("IMPORTRANGE(""https://docs.google.com/spreadsheets/d/1SX6NBoVAgQJ6U1MVXOaj8PK2l7WJ3RER9xtqwdhxkhw/edit?usp=sharing"",""ราชบุรี!I244"")"),0)</f>
        <v>0</v>
      </c>
      <c r="J349" s="371">
        <f ca="1">IFERROR(__xludf.DUMMYFUNCTION("IMPORTRANGE(""https://docs.google.com/spreadsheets/d/1SX6NBoVAgQJ6U1MVXOaj8PK2l7WJ3RER9xtqwdhxkhw/edit?usp=sharing"",""ราชบุรี!J244"")"),0)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IFERROR(__xludf.DUMMYFUNCTION("IMPORTRANGE(""https://docs.google.com/spreadsheets/d/1SX6NBoVAgQJ6U1MVXOaj8PK2l7WJ3RER9xtqwdhxkhw/edit?usp=sharing"",""ราชบุรี!L244"")"),0)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IFERROR(__xludf.DUMMYFUNCTION("IMPORTRANGE(""https://docs.google.com/spreadsheets/d/1SX6NBoVAgQJ6U1MVXOaj8PK2l7WJ3RER9xtqwdhxkhw/edit?usp=sharing"",""ราชบุรี!M244"")"),0)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IFERROR(__xludf.DUMMYFUNCTION("IMPORTRANGE(""https://docs.google.com/spreadsheets/d/1SX6NBoVAgQJ6U1MVXOaj8PK2l7WJ3RER9xtqwdhxkhw/edit?usp=sharing"",""ราชบุรี!I245"")"),0)</f>
        <v>0</v>
      </c>
      <c r="J350" s="371">
        <f ca="1">IFERROR(__xludf.DUMMYFUNCTION("IMPORTRANGE(""https://docs.google.com/spreadsheets/d/1SX6NBoVAgQJ6U1MVXOaj8PK2l7WJ3RER9xtqwdhxkhw/edit?usp=sharing"",""ราชบุรี!J245"")"),0)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IFERROR(__xludf.DUMMYFUNCTION("IMPORTRANGE(""https://docs.google.com/spreadsheets/d/1SX6NBoVAgQJ6U1MVXOaj8PK2l7WJ3RER9xtqwdhxkhw/edit?usp=sharing"",""ราชบุรี!L246"")"),0)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IFERROR(__xludf.DUMMYFUNCTION("IMPORTRANGE(""https://docs.google.com/spreadsheets/d/1SX6NBoVAgQJ6U1MVXOaj8PK2l7WJ3RER9xtqwdhxkhw/edit?usp=sharing"",""ราชบุรี!M246"")"),0)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IFERROR(__xludf.DUMMYFUNCTION("IMPORTRANGE(""https://docs.google.com/spreadsheets/d/1SX6NBoVAgQJ6U1MVXOaj8PK2l7WJ3RER9xtqwdhxkhw/edit?usp=sharing"",""ราชบุรี!L247"")"),0)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IFERROR(__xludf.DUMMYFUNCTION("IMPORTRANGE(""https://docs.google.com/spreadsheets/d/1SX6NBoVAgQJ6U1MVXOaj8PK2l7WJ3RER9xtqwdhxkhw/edit?usp=sharing"",""ราชบุรี!M247"")"),0)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IFERROR(__xludf.DUMMYFUNCTION("IMPORTRANGE(""https://docs.google.com/spreadsheets/d/1SX6NBoVAgQJ6U1MVXOaj8PK2l7WJ3RER9xtqwdhxkhw/edit?usp=sharing"",""ราชบุรี!L248"")"),0)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IFERROR(__xludf.DUMMYFUNCTION("IMPORTRANGE(""https://docs.google.com/spreadsheets/d/1SX6NBoVAgQJ6U1MVXOaj8PK2l7WJ3RER9xtqwdhxkhw/edit?usp=sharing"",""ราชบุรี!M248"")"),0)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IFERROR(__xludf.DUMMYFUNCTION("IMPORTRANGE(""https://docs.google.com/spreadsheets/d/1SX6NBoVAgQJ6U1MVXOaj8PK2l7WJ3RER9xtqwdhxkhw/edit?usp=sharing"",""ราชบุรี!L249"")"),0)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IFERROR(__xludf.DUMMYFUNCTION("IMPORTRANGE(""https://docs.google.com/spreadsheets/d/1SX6NBoVAgQJ6U1MVXOaj8PK2l7WJ3RER9xtqwdhxkhw/edit?usp=sharing"",""ราชบุรี!M249"")"),0)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IFERROR(__xludf.DUMMYFUNCTION("IMPORTRANGE(""https://docs.google.com/spreadsheets/d/1SX6NBoVAgQJ6U1MVXOaj8PK2l7WJ3RER9xtqwdhxkhw/edit?usp=sharing"",""ราชบุรี!M250"")"),0)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IFERROR(__xludf.DUMMYFUNCTION("IMPORTRANGE(""https://docs.google.com/spreadsheets/d/1SX6NBoVAgQJ6U1MVXOaj8PK2l7WJ3RER9xtqwdhxkhw/edit?usp=sharing"",""ราชบุรี!M251"")"),0)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IFERROR(__xludf.DUMMYFUNCTION("IMPORTRANGE(""https://docs.google.com/spreadsheets/d/1SX6NBoVAgQJ6U1MVXOaj8PK2l7WJ3RER9xtqwdhxkhw/edit?usp=sharing"",""ราชบุรี!M252"")"),0)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IFERROR(__xludf.DUMMYFUNCTION("IMPORTRANGE(""https://docs.google.com/spreadsheets/d/1SX6NBoVAgQJ6U1MVXOaj8PK2l7WJ3RER9xtqwdhxkhw/edit?usp=sharing"",""ราชบุรี!M253"")"),0)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IFERROR(__xludf.DUMMYFUNCTION("IMPORTRANGE(""https://docs.google.com/spreadsheets/d/1SX6NBoVAgQJ6U1MVXOaj8PK2l7WJ3RER9xtqwdhxkhw/edit?usp=sharing"",""ราชบุรี!J255"")"),0)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IFERROR(__xludf.DUMMYFUNCTION("IMPORTRANGE(""https://docs.google.com/spreadsheets/d/1SX6NBoVAgQJ6U1MVXOaj8PK2l7WJ3RER9xtqwdhxkhw/edit?usp=sharing"",""ราชบุรี!J256"")"),0)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IFERROR(__xludf.DUMMYFUNCTION("IMPORTRANGE(""https://docs.google.com/spreadsheets/d/1SX6NBoVAgQJ6U1MVXOaj8PK2l7WJ3RER9xtqwdhxkhw/edit?usp=sharing"",""ราชบุรี!J257"")"),0)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IFERROR(__xludf.DUMMYFUNCTION("IMPORTRANGE(""https://docs.google.com/spreadsheets/d/1SX6NBoVAgQJ6U1MVXOaj8PK2l7WJ3RER9xtqwdhxkhw/edit?usp=sharing"",""ราชบุรี!J258"")"),0)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IFERROR(__xludf.DUMMYFUNCTION("IMPORTRANGE(""https://docs.google.com/spreadsheets/d/1SX6NBoVAgQJ6U1MVXOaj8PK2l7WJ3RER9xtqwdhxkhw/edit?usp=sharing"",""ราชบุรี!J166"")"),0)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IFERROR(__xludf.DUMMYFUNCTION("IMPORTRANGE(""https://docs.google.com/spreadsheets/d/1SX6NBoVAgQJ6U1MVXOaj8PK2l7WJ3RER9xtqwdhxkhw/edit?usp=sharing"",""ราชบุรี!J166"")"),0)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IFERROR(__xludf.DUMMYFUNCTION("IMPORTRANGE(""https://docs.google.com/spreadsheets/d/1SX6NBoVAgQJ6U1MVXOaj8PK2l7WJ3RER9xtqwdhxkhw/edit?usp=sharing"",""ราชบุรี!J166"")"),0)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IFERROR(__xludf.DUMMYFUNCTION("IMPORTRANGE(""https://docs.google.com/spreadsheets/d/1SX6NBoVAgQJ6U1MVXOaj8PK2l7WJ3RER9xtqwdhxkhw/edit?usp=sharing"",""ราชบุรี!J166"")"),0)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IFERROR(__xludf.DUMMYFUNCTION("IMPORTRANGE(""https://docs.google.com/spreadsheets/d/1SX6NBoVAgQJ6U1MVXOaj8PK2l7WJ3RER9xtqwdhxkhw/edit?usp=sharing"",""ราชบุรี!I263"")"),0)</f>
        <v>0</v>
      </c>
      <c r="J368" s="188">
        <f ca="1">IFERROR(__xludf.DUMMYFUNCTION("IMPORTRANGE(""https://docs.google.com/spreadsheets/d/1SX6NBoVAgQJ6U1MVXOaj8PK2l7WJ3RER9xtqwdhxkhw/edit?usp=sharing"",""ราชบุรี!J263"")"),0)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IFERROR(__xludf.DUMMYFUNCTION("IMPORTRANGE(""https://docs.google.com/spreadsheets/d/1SX6NBoVAgQJ6U1MVXOaj8PK2l7WJ3RER9xtqwdhxkhw/edit?usp=sharing"",""ราชบุรี!I164"")"),0)</f>
        <v>0</v>
      </c>
      <c r="J369" s="204">
        <f ca="1">IFERROR(__xludf.DUMMYFUNCTION("IMPORTRANGE(""https://docs.google.com/spreadsheets/d/1SX6NBoVAgQJ6U1MVXOaj8PK2l7WJ3RER9xtqwdhxkhw/edit?usp=sharing"",""ราชบุรี!J164"")"),0)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IFERROR(__xludf.DUMMYFUNCTION("IMPORTRANGE(""https://docs.google.com/spreadsheets/d/1SX6NBoVAgQJ6U1MVXOaj8PK2l7WJ3RER9xtqwdhxkhw/edit?usp=sharing"",""ราชบุรี!I265"")"),0)</f>
        <v>0</v>
      </c>
      <c r="J370" s="204">
        <f ca="1">IFERROR(__xludf.DUMMYFUNCTION("IMPORTRANGE(""https://docs.google.com/spreadsheets/d/1SX6NBoVAgQJ6U1MVXOaj8PK2l7WJ3RER9xtqwdhxkhw/edit?usp=sharing"",""ราชบุรี!J265"")"),0)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IFERROR(__xludf.DUMMYFUNCTION("IMPORTRANGE(""https://docs.google.com/spreadsheets/d/1SX6NBoVAgQJ6U1MVXOaj8PK2l7WJ3RER9xtqwdhxkhw/edit?usp=sharing"",""ราชบุรี!I164"")"),0)</f>
        <v>0</v>
      </c>
      <c r="J371" s="189">
        <f ca="1">IFERROR(__xludf.DUMMYFUNCTION("IMPORTRANGE(""https://docs.google.com/spreadsheets/d/1SX6NBoVAgQJ6U1MVXOaj8PK2l7WJ3RER9xtqwdhxkhw/edit?usp=sharing"",""ราชบุรี!J164"")"),0)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IFERROR(__xludf.DUMMYFUNCTION("IMPORTRANGE(""https://docs.google.com/spreadsheets/d/1SX6NBoVAgQJ6U1MVXOaj8PK2l7WJ3RER9xtqwdhxkhw/edit?usp=sharing"",""ราชบุรี!I267"")"),0)</f>
        <v>0</v>
      </c>
      <c r="J372" s="189">
        <f ca="1">IFERROR(__xludf.DUMMYFUNCTION("IMPORTRANGE(""https://docs.google.com/spreadsheets/d/1SX6NBoVAgQJ6U1MVXOaj8PK2l7WJ3RER9xtqwdhxkhw/edit?usp=sharing"",""ราชบุรี!J267"")"),0)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IFERROR(__xludf.DUMMYFUNCTION("IMPORTRANGE(""https://docs.google.com/spreadsheets/d/1SX6NBoVAgQJ6U1MVXOaj8PK2l7WJ3RER9xtqwdhxkhw/edit?usp=sharing"",""ราชบุรี!I164"")"),0)</f>
        <v>0</v>
      </c>
      <c r="J373" s="204">
        <f ca="1">IFERROR(__xludf.DUMMYFUNCTION("IMPORTRANGE(""https://docs.google.com/spreadsheets/d/1SX6NBoVAgQJ6U1MVXOaj8PK2l7WJ3RER9xtqwdhxkhw/edit?usp=sharing"",""ราชบุรี!J164"")"),0)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IFERROR(__xludf.DUMMYFUNCTION("IMPORTRANGE(""https://docs.google.com/spreadsheets/d/1SX6NBoVAgQJ6U1MVXOaj8PK2l7WJ3RER9xtqwdhxkhw/edit?usp=sharing"",""ราชบุรี!I164"")"),0)</f>
        <v>0</v>
      </c>
      <c r="J374" s="188">
        <f ca="1">IFERROR(__xludf.DUMMYFUNCTION("IMPORTRANGE(""https://docs.google.com/spreadsheets/d/1SX6NBoVAgQJ6U1MVXOaj8PK2l7WJ3RER9xtqwdhxkhw/edit?usp=sharing"",""ราชบุรี!J164"")"),0)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IFERROR(__xludf.DUMMYFUNCTION("IMPORTRANGE(""https://docs.google.com/spreadsheets/d/1SX6NBoVAgQJ6U1MVXOaj8PK2l7WJ3RER9xtqwdhxkhw/edit?usp=sharing"",""ราชบุรี!I270"")"),0)</f>
        <v>0</v>
      </c>
      <c r="J375" s="188">
        <f ca="1">IFERROR(__xludf.DUMMYFUNCTION("IMPORTRANGE(""https://docs.google.com/spreadsheets/d/1SX6NBoVAgQJ6U1MVXOaj8PK2l7WJ3RER9xtqwdhxkhw/edit?usp=sharing"",""ราชบุรี!J270"")"),0)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IFERROR(__xludf.DUMMYFUNCTION("IMPORTRANGE(""https://docs.google.com/spreadsheets/d/1SX6NBoVAgQJ6U1MVXOaj8PK2l7WJ3RER9xtqwdhxkhw/edit?usp=sharing"",""ราชบุรี!I271"")"),0)</f>
        <v>0</v>
      </c>
      <c r="J376" s="189">
        <f ca="1">IFERROR(__xludf.DUMMYFUNCTION("IMPORTRANGE(""https://docs.google.com/spreadsheets/d/1SX6NBoVAgQJ6U1MVXOaj8PK2l7WJ3RER9xtqwdhxkhw/edit?usp=sharing"",""ราชบุรี!J271"")"),0)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IFERROR(__xludf.DUMMYFUNCTION("IMPORTRANGE(""https://docs.google.com/spreadsheets/d/1SX6NBoVAgQJ6U1MVXOaj8PK2l7WJ3RER9xtqwdhxkhw/edit?usp=sharing"",""ราชบุรี!I272"")"),0)</f>
        <v>0</v>
      </c>
      <c r="J377" s="204">
        <f ca="1">IFERROR(__xludf.DUMMYFUNCTION("IMPORTRANGE(""https://docs.google.com/spreadsheets/d/1SX6NBoVAgQJ6U1MVXOaj8PK2l7WJ3RER9xtqwdhxkhw/edit?usp=sharing"",""ราชบุรี!J272"")"),0)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IFERROR(__xludf.DUMMYFUNCTION("IMPORTRANGE(""https://docs.google.com/spreadsheets/d/1SX6NBoVAgQJ6U1MVXOaj8PK2l7WJ3RER9xtqwdhxkhw/edit?usp=sharing"",""ราชบุรี!J273"")"),0)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IFERROR(__xludf.DUMMYFUNCTION("IMPORTRANGE(""https://docs.google.com/spreadsheets/d/1SX6NBoVAgQJ6U1MVXOaj8PK2l7WJ3RER9xtqwdhxkhw/edit?usp=sharing"",""ราชบุรี!J274"")"),0)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IFERROR(__xludf.DUMMYFUNCTION("IMPORTRANGE(""https://docs.google.com/spreadsheets/d/1SX6NBoVAgQJ6U1MVXOaj8PK2l7WJ3RER9xtqwdhxkhw/edit?usp=sharing"",""ราชบุรี!I275"")"),1000)</f>
        <v>1000</v>
      </c>
      <c r="J380" s="371">
        <f ca="1">IFERROR(__xludf.DUMMYFUNCTION("IMPORTRANGE(""https://docs.google.com/spreadsheets/d/1SX6NBoVAgQJ6U1MVXOaj8PK2l7WJ3RER9xtqwdhxkhw/edit?usp=sharing"",""ราชบุรี!J275"")"),0)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IFERROR(__xludf.DUMMYFUNCTION("IMPORTRANGE(""https://docs.google.com/spreadsheets/d/1SX6NBoVAgQJ6U1MVXOaj8PK2l7WJ3RER9xtqwdhxkhw/edit?usp=sharing"",""ราชบุรี!L275"")"),1028520)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IFERROR(__xludf.DUMMYFUNCTION("IMPORTRANGE(""https://docs.google.com/spreadsheets/d/1SX6NBoVAgQJ6U1MVXOaj8PK2l7WJ3RER9xtqwdhxkhw/edit?usp=sharing"",""ราชบุรี!M275"")"),251770.18)</f>
        <v>251770.18</v>
      </c>
      <c r="O380" s="373">
        <f ca="1">+IF(L380&gt;0,N380*100/L380,0)</f>
        <v>24.478880332905533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IFERROR(__xludf.DUMMYFUNCTION("IMPORTRANGE(""https://docs.google.com/spreadsheets/d/1SX6NBoVAgQJ6U1MVXOaj8PK2l7WJ3RER9xtqwdhxkhw/edit?usp=sharing"",""ราชบุรี!I276"")"),100)</f>
        <v>100</v>
      </c>
      <c r="J381" s="371">
        <f ca="1">IFERROR(__xludf.DUMMYFUNCTION("IMPORTRANGE(""https://docs.google.com/spreadsheets/d/1SX6NBoVAgQJ6U1MVXOaj8PK2l7WJ3RER9xtqwdhxkhw/edit?usp=sharing"",""ราชบุรี!J276"")"),100)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IFERROR(__xludf.DUMMYFUNCTION("IMPORTRANGE(""https://docs.google.com/spreadsheets/d/1SX6NBoVAgQJ6U1MVXOaj8PK2l7WJ3RER9xtqwdhxkhw/edit?usp=sharing"",""ราชบุรี!L277"")"),0)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IFERROR(__xludf.DUMMYFUNCTION("IMPORTRANGE(""https://docs.google.com/spreadsheets/d/1SX6NBoVAgQJ6U1MVXOaj8PK2l7WJ3RER9xtqwdhxkhw/edit?usp=sharing"",""ราชบุรี!M277"")"),0)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IFERROR(__xludf.DUMMYFUNCTION("IMPORTRANGE(""https://docs.google.com/spreadsheets/d/1SX6NBoVAgQJ6U1MVXOaj8PK2l7WJ3RER9xtqwdhxkhw/edit?usp=sharing"",""ราชบุรี!L278"")"),1028520)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IFERROR(__xludf.DUMMYFUNCTION("IMPORTRANGE(""https://docs.google.com/spreadsheets/d/1SX6NBoVAgQJ6U1MVXOaj8PK2l7WJ3RER9xtqwdhxkhw/edit?usp=sharing"",""ราชบุรี!M278"")"),251770.18)</f>
        <v>251770.18</v>
      </c>
      <c r="O383" s="165">
        <f t="shared" ca="1" si="109"/>
        <v>24.478880332905533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IFERROR(__xludf.DUMMYFUNCTION("IMPORTRANGE(""https://docs.google.com/spreadsheets/d/1SX6NBoVAgQJ6U1MVXOaj8PK2l7WJ3RER9xtqwdhxkhw/edit?usp=sharing"",""ราชบุรี!L279"")"),0)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IFERROR(__xludf.DUMMYFUNCTION("IMPORTRANGE(""https://docs.google.com/spreadsheets/d/1SX6NBoVAgQJ6U1MVXOaj8PK2l7WJ3RER9xtqwdhxkhw/edit?usp=sharing"",""ราชบุรี!M279"")"),0)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IFERROR(__xludf.DUMMYFUNCTION("IMPORTRANGE(""https://docs.google.com/spreadsheets/d/1SX6NBoVAgQJ6U1MVXOaj8PK2l7WJ3RER9xtqwdhxkhw/edit?usp=sharing"",""ราชบุรี!L280"")"),1028520)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IFERROR(__xludf.DUMMYFUNCTION("IMPORTRANGE(""https://docs.google.com/spreadsheets/d/1SX6NBoVAgQJ6U1MVXOaj8PK2l7WJ3RER9xtqwdhxkhw/edit?usp=sharing"",""ราชบุรี!M280"")"),251770.18)</f>
        <v>251770.18</v>
      </c>
      <c r="O385" s="169">
        <f t="shared" ca="1" si="109"/>
        <v>24.478880332905533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IFERROR(__xludf.DUMMYFUNCTION("IMPORTRANGE(""https://docs.google.com/spreadsheets/d/1SX6NBoVAgQJ6U1MVXOaj8PK2l7WJ3RER9xtqwdhxkhw/edit?usp=sharing"",""ราชบุรี!M281"")"),177750)</f>
        <v>177750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IFERROR(__xludf.DUMMYFUNCTION("IMPORTRANGE(""https://docs.google.com/spreadsheets/d/1SX6NBoVAgQJ6U1MVXOaj8PK2l7WJ3RER9xtqwdhxkhw/edit?usp=sharing"",""ราชบุรี!M282"")"),0)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IFERROR(__xludf.DUMMYFUNCTION("IMPORTRANGE(""https://docs.google.com/spreadsheets/d/1SX6NBoVAgQJ6U1MVXOaj8PK2l7WJ3RER9xtqwdhxkhw/edit?usp=sharing"",""ราชบุรี!M283"")"),49700)</f>
        <v>49700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IFERROR(__xludf.DUMMYFUNCTION("IMPORTRANGE(""https://docs.google.com/spreadsheets/d/1SX6NBoVAgQJ6U1MVXOaj8PK2l7WJ3RER9xtqwdhxkhw/edit?usp=sharing"",""ราชบุรี!M284"")"),24320.18)</f>
        <v>24320.18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IFERROR(__xludf.DUMMYFUNCTION("IMPORTRANGE(""https://docs.google.com/spreadsheets/d/1SX6NBoVAgQJ6U1MVXOaj8PK2l7WJ3RER9xtqwdhxkhw/edit?usp=sharing"",""ราชบุรี!J286"")"),0)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IFERROR(__xludf.DUMMYFUNCTION("IMPORTRANGE(""https://docs.google.com/spreadsheets/d/1SX6NBoVAgQJ6U1MVXOaj8PK2l7WJ3RER9xtqwdhxkhw/edit?usp=sharing"",""ราชบุรี!J287"")"),1)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IFERROR(__xludf.DUMMYFUNCTION("IMPORTRANGE(""https://docs.google.com/spreadsheets/d/1SX6NBoVAgQJ6U1MVXOaj8PK2l7WJ3RER9xtqwdhxkhw/edit?usp=sharing"",""ราชบุรี!J288"")"),1)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IFERROR(__xludf.DUMMYFUNCTION("IMPORTRANGE(""https://docs.google.com/spreadsheets/d/1SX6NBoVAgQJ6U1MVXOaj8PK2l7WJ3RER9xtqwdhxkhw/edit?usp=sharing"",""ราชบุรี!J289"")"),1)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IFERROR(__xludf.DUMMYFUNCTION("IMPORTRANGE(""https://docs.google.com/spreadsheets/d/1SX6NBoVAgQJ6U1MVXOaj8PK2l7WJ3RER9xtqwdhxkhw/edit?usp=sharing"",""ราชบุรี!I291"")"),100)</f>
        <v>100</v>
      </c>
      <c r="J396" s="198">
        <f ca="1">IFERROR(__xludf.DUMMYFUNCTION("IMPORTRANGE(""https://docs.google.com/spreadsheets/d/1SX6NBoVAgQJ6U1MVXOaj8PK2l7WJ3RER9xtqwdhxkhw/edit?usp=sharing"",""ราชบุรี!J291"")"),100)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IFERROR(__xludf.DUMMYFUNCTION("IMPORTRANGE(""https://docs.google.com/spreadsheets/d/1SX6NBoVAgQJ6U1MVXOaj8PK2l7WJ3RER9xtqwdhxkhw/edit?usp=sharing"",""ราชบุรี!I292"")"),1000)</f>
        <v>1000</v>
      </c>
      <c r="J397" s="198">
        <f ca="1">IFERROR(__xludf.DUMMYFUNCTION("IMPORTRANGE(""https://docs.google.com/spreadsheets/d/1SX6NBoVAgQJ6U1MVXOaj8PK2l7WJ3RER9xtqwdhxkhw/edit?usp=sharing"",""ราชบุรี!J292"")"),0)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IFERROR(__xludf.DUMMYFUNCTION("IMPORTRANGE(""https://docs.google.com/spreadsheets/d/1SX6NBoVAgQJ6U1MVXOaj8PK2l7WJ3RER9xtqwdhxkhw/edit?usp=sharing"",""ราชบุรี!I293"")"),100)</f>
        <v>100</v>
      </c>
      <c r="J398" s="198">
        <f ca="1">IFERROR(__xludf.DUMMYFUNCTION("IMPORTRANGE(""https://docs.google.com/spreadsheets/d/1SX6NBoVAgQJ6U1MVXOaj8PK2l7WJ3RER9xtqwdhxkhw/edit?usp=sharing"",""ราชบุรี!J293"")"),0)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IFERROR(__xludf.DUMMYFUNCTION("IMPORTRANGE(""https://docs.google.com/spreadsheets/d/1SX6NBoVAgQJ6U1MVXOaj8PK2l7WJ3RER9xtqwdhxkhw/edit?usp=sharing"",""ราชบุรี!J294"")"),0)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IFERROR(__xludf.DUMMYFUNCTION("IMPORTRANGE(""https://docs.google.com/spreadsheets/d/1SX6NBoVAgQJ6U1MVXOaj8PK2l7WJ3RER9xtqwdhxkhw/edit?usp=sharing"",""ราชบุรี!J295"")"),0)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IFERROR(__xludf.DUMMYFUNCTION("IMPORTRANGE(""https://docs.google.com/spreadsheets/d/1SX6NBoVAgQJ6U1MVXOaj8PK2l7WJ3RER9xtqwdhxkhw/edit?usp=sharing"",""ราชบุรี!I296"")"),195)</f>
        <v>195</v>
      </c>
      <c r="J401" s="371">
        <f ca="1">IFERROR(__xludf.DUMMYFUNCTION("IMPORTRANGE(""https://docs.google.com/spreadsheets/d/1SX6NBoVAgQJ6U1MVXOaj8PK2l7WJ3RER9xtqwdhxkhw/edit?usp=sharing"",""ราชบุรี!J296"")"),195)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IFERROR(__xludf.DUMMYFUNCTION("IMPORTRANGE(""https://docs.google.com/spreadsheets/d/1SX6NBoVAgQJ6U1MVXOaj8PK2l7WJ3RER9xtqwdhxkhw/edit?usp=sharing"",""ราชบุรี!L296"")"),226530)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IFERROR(__xludf.DUMMYFUNCTION("IMPORTRANGE(""https://docs.google.com/spreadsheets/d/1SX6NBoVAgQJ6U1MVXOaj8PK2l7WJ3RER9xtqwdhxkhw/edit?usp=sharing"",""ราชบุรี!M296"")"),146501)</f>
        <v>146501</v>
      </c>
      <c r="O401" s="373">
        <f ca="1">+IF(L401&gt;0,N401*100/L401,0)</f>
        <v>64.671787401227206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IFERROR(__xludf.DUMMYFUNCTION("IMPORTRANGE(""https://docs.google.com/spreadsheets/d/1SX6NBoVAgQJ6U1MVXOaj8PK2l7WJ3RER9xtqwdhxkhw/edit?usp=sharing"",""ราชบุรี!I297"")"),65)</f>
        <v>65</v>
      </c>
      <c r="J402" s="371">
        <f ca="1">IFERROR(__xludf.DUMMYFUNCTION("IMPORTRANGE(""https://docs.google.com/spreadsheets/d/1SX6NBoVAgQJ6U1MVXOaj8PK2l7WJ3RER9xtqwdhxkhw/edit?usp=sharing"",""ราชบุรี!J297"")"),65)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IFERROR(__xludf.DUMMYFUNCTION("IMPORTRANGE(""https://docs.google.com/spreadsheets/d/1SX6NBoVAgQJ6U1MVXOaj8PK2l7WJ3RER9xtqwdhxkhw/edit?usp=sharing"",""ราชบุรี!L298"")"),0)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IFERROR(__xludf.DUMMYFUNCTION("IMPORTRANGE(""https://docs.google.com/spreadsheets/d/1SX6NBoVAgQJ6U1MVXOaj8PK2l7WJ3RER9xtqwdhxkhw/edit?usp=sharing"",""ราชบุรี!M298"")"),0)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IFERROR(__xludf.DUMMYFUNCTION("IMPORTRANGE(""https://docs.google.com/spreadsheets/d/1SX6NBoVAgQJ6U1MVXOaj8PK2l7WJ3RER9xtqwdhxkhw/edit?usp=sharing"",""ราชบุรี!L299"")"),226530)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IFERROR(__xludf.DUMMYFUNCTION("IMPORTRANGE(""https://docs.google.com/spreadsheets/d/1SX6NBoVAgQJ6U1MVXOaj8PK2l7WJ3RER9xtqwdhxkhw/edit?usp=sharing"",""ราชบุรี!M299"")"),146501)</f>
        <v>146501</v>
      </c>
      <c r="O404" s="169">
        <f t="shared" ca="1" si="112"/>
        <v>64.671787401227206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IFERROR(__xludf.DUMMYFUNCTION("IMPORTRANGE(""https://docs.google.com/spreadsheets/d/1SX6NBoVAgQJ6U1MVXOaj8PK2l7WJ3RER9xtqwdhxkhw/edit?usp=sharing"",""ราชบุรี!L300"")"),0)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IFERROR(__xludf.DUMMYFUNCTION("IMPORTRANGE(""https://docs.google.com/spreadsheets/d/1SX6NBoVAgQJ6U1MVXOaj8PK2l7WJ3RER9xtqwdhxkhw/edit?usp=sharing"",""ราชบุรี!M300"")"),0)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IFERROR(__xludf.DUMMYFUNCTION("IMPORTRANGE(""https://docs.google.com/spreadsheets/d/1SX6NBoVAgQJ6U1MVXOaj8PK2l7WJ3RER9xtqwdhxkhw/edit?usp=sharing"",""ราชบุรี!L301"")"),226530)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IFERROR(__xludf.DUMMYFUNCTION("IMPORTRANGE(""https://docs.google.com/spreadsheets/d/1SX6NBoVAgQJ6U1MVXOaj8PK2l7WJ3RER9xtqwdhxkhw/edit?usp=sharing"",""ราชบุรี!M301"")"),146501)</f>
        <v>146501</v>
      </c>
      <c r="O406" s="169">
        <f t="shared" ca="1" si="112"/>
        <v>64.671787401227206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IFERROR(__xludf.DUMMYFUNCTION("IMPORTRANGE(""https://docs.google.com/spreadsheets/d/1SX6NBoVAgQJ6U1MVXOaj8PK2l7WJ3RER9xtqwdhxkhw/edit?usp=sharing"",""ราชบุรี!M302"")"),129675)</f>
        <v>129675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IFERROR(__xludf.DUMMYFUNCTION("IMPORTRANGE(""https://docs.google.com/spreadsheets/d/1SX6NBoVAgQJ6U1MVXOaj8PK2l7WJ3RER9xtqwdhxkhw/edit?usp=sharing"",""ราชบุรี!M303"")"),0)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IFERROR(__xludf.DUMMYFUNCTION("IMPORTRANGE(""https://docs.google.com/spreadsheets/d/1SX6NBoVAgQJ6U1MVXOaj8PK2l7WJ3RER9xtqwdhxkhw/edit?usp=sharing"",""ราชบุรี!M304"")"),0)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IFERROR(__xludf.DUMMYFUNCTION("IMPORTRANGE(""https://docs.google.com/spreadsheets/d/1SX6NBoVAgQJ6U1MVXOaj8PK2l7WJ3RER9xtqwdhxkhw/edit?usp=sharing"",""ราชบุรี!M305"")"),16826)</f>
        <v>16826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IFERROR(__xludf.DUMMYFUNCTION("IMPORTRANGE(""https://docs.google.com/spreadsheets/d/1SX6NBoVAgQJ6U1MVXOaj8PK2l7WJ3RER9xtqwdhxkhw/edit?usp=sharing"",""ราชบุรี!J307"")"),0)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IFERROR(__xludf.DUMMYFUNCTION("IMPORTRANGE(""https://docs.google.com/spreadsheets/d/1SX6NBoVAgQJ6U1MVXOaj8PK2l7WJ3RER9xtqwdhxkhw/edit?usp=sharing"",""ราชบุรี!J308"")"),1)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IFERROR(__xludf.DUMMYFUNCTION("IMPORTRANGE(""https://docs.google.com/spreadsheets/d/1SX6NBoVAgQJ6U1MVXOaj8PK2l7WJ3RER9xtqwdhxkhw/edit?usp=sharing"",""ราชบุรี!J309"")"),1)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IFERROR(__xludf.DUMMYFUNCTION("IMPORTRANGE(""https://docs.google.com/spreadsheets/d/1SX6NBoVAgQJ6U1MVXOaj8PK2l7WJ3RER9xtqwdhxkhw/edit?usp=sharing"",""ราชบุรี!J310"")"),1)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IFERROR(__xludf.DUMMYFUNCTION("IMPORTRANGE(""https://docs.google.com/spreadsheets/d/1SX6NBoVAgQJ6U1MVXOaj8PK2l7WJ3RER9xtqwdhxkhw/edit?usp=sharing"",""ราชบุรี!I311"")"),65)</f>
        <v>65</v>
      </c>
      <c r="J416" s="201">
        <f ca="1">IFERROR(__xludf.DUMMYFUNCTION("IMPORTRANGE(""https://docs.google.com/spreadsheets/d/1SX6NBoVAgQJ6U1MVXOaj8PK2l7WJ3RER9xtqwdhxkhw/edit?usp=sharing"",""ราชบุรี!J311"")"),65)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IFERROR(__xludf.DUMMYFUNCTION("IMPORTRANGE(""https://docs.google.com/spreadsheets/d/1SX6NBoVAgQJ6U1MVXOaj8PK2l7WJ3RER9xtqwdhxkhw/edit?usp=sharing"",""ราชบุรี!I312"")"),30)</f>
        <v>30</v>
      </c>
      <c r="J417" s="392">
        <f ca="1">IFERROR(__xludf.DUMMYFUNCTION("IMPORTRANGE(""https://docs.google.com/spreadsheets/d/1SX6NBoVAgQJ6U1MVXOaj8PK2l7WJ3RER9xtqwdhxkhw/edit?usp=sharing"",""ราชบุรี!J312"")"),30)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IFERROR(__xludf.DUMMYFUNCTION("IMPORTRANGE(""https://docs.google.com/spreadsheets/d/1SX6NBoVAgQJ6U1MVXOaj8PK2l7WJ3RER9xtqwdhxkhw/edit?usp=sharing"",""ราชบุรี!I313"")"),90)</f>
        <v>90</v>
      </c>
      <c r="J418" s="393">
        <f ca="1">IFERROR(__xludf.DUMMYFUNCTION("IMPORTRANGE(""https://docs.google.com/spreadsheets/d/1SX6NBoVAgQJ6U1MVXOaj8PK2l7WJ3RER9xtqwdhxkhw/edit?usp=sharing"",""ราชบุรี!J313"")"),90)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IFERROR(__xludf.DUMMYFUNCTION("IMPORTRANGE(""https://docs.google.com/spreadsheets/d/1SX6NBoVAgQJ6U1MVXOaj8PK2l7WJ3RER9xtqwdhxkhw/edit?usp=sharing"",""ราชบุรี!I314"")"),30)</f>
        <v>30</v>
      </c>
      <c r="J419" s="394">
        <f ca="1">IFERROR(__xludf.DUMMYFUNCTION("IMPORTRANGE(""https://docs.google.com/spreadsheets/d/1SX6NBoVAgQJ6U1MVXOaj8PK2l7WJ3RER9xtqwdhxkhw/edit?usp=sharing"",""ราชบุรี!J314"")"),30)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IFERROR(__xludf.DUMMYFUNCTION("IMPORTRANGE(""https://docs.google.com/spreadsheets/d/1SX6NBoVAgQJ6U1MVXOaj8PK2l7WJ3RER9xtqwdhxkhw/edit?usp=sharing"",""ราชบุรี!I315"")"),30)</f>
        <v>30</v>
      </c>
      <c r="J420" s="394">
        <f ca="1">IFERROR(__xludf.DUMMYFUNCTION("IMPORTRANGE(""https://docs.google.com/spreadsheets/d/1SX6NBoVAgQJ6U1MVXOaj8PK2l7WJ3RER9xtqwdhxkhw/edit?usp=sharing"",""ราชบุรี!J315"")"),30)</f>
        <v>30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IFERROR(__xludf.DUMMYFUNCTION("IMPORTRANGE(""https://docs.google.com/spreadsheets/d/1SX6NBoVAgQJ6U1MVXOaj8PK2l7WJ3RER9xtqwdhxkhw/edit?usp=sharing"",""ราชบุรี!I316"")"),25)</f>
        <v>25</v>
      </c>
      <c r="J421" s="392">
        <f ca="1">IFERROR(__xludf.DUMMYFUNCTION("IMPORTRANGE(""https://docs.google.com/spreadsheets/d/1SX6NBoVAgQJ6U1MVXOaj8PK2l7WJ3RER9xtqwdhxkhw/edit?usp=sharing"",""ราชบุรี!J316"")"),25)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IFERROR(__xludf.DUMMYFUNCTION("IMPORTRANGE(""https://docs.google.com/spreadsheets/d/1SX6NBoVAgQJ6U1MVXOaj8PK2l7WJ3RER9xtqwdhxkhw/edit?usp=sharing"",""ราชบุรี!I317"")"),75)</f>
        <v>75</v>
      </c>
      <c r="J422" s="393">
        <f ca="1">IFERROR(__xludf.DUMMYFUNCTION("IMPORTRANGE(""https://docs.google.com/spreadsheets/d/1SX6NBoVAgQJ6U1MVXOaj8PK2l7WJ3RER9xtqwdhxkhw/edit?usp=sharing"",""ราชบุรี!J317"")"),75)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IFERROR(__xludf.DUMMYFUNCTION("IMPORTRANGE(""https://docs.google.com/spreadsheets/d/1SX6NBoVAgQJ6U1MVXOaj8PK2l7WJ3RER9xtqwdhxkhw/edit?usp=sharing"",""ราชบุรี!I318"")"),25)</f>
        <v>25</v>
      </c>
      <c r="J423" s="394">
        <f ca="1">IFERROR(__xludf.DUMMYFUNCTION("IMPORTRANGE(""https://docs.google.com/spreadsheets/d/1SX6NBoVAgQJ6U1MVXOaj8PK2l7WJ3RER9xtqwdhxkhw/edit?usp=sharing"",""ราชบุรี!J318"")"),25)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IFERROR(__xludf.DUMMYFUNCTION("IMPORTRANGE(""https://docs.google.com/spreadsheets/d/1SX6NBoVAgQJ6U1MVXOaj8PK2l7WJ3RER9xtqwdhxkhw/edit?usp=sharing"",""ราชบุรี!I319"")"),25)</f>
        <v>25</v>
      </c>
      <c r="J424" s="394">
        <f ca="1">IFERROR(__xludf.DUMMYFUNCTION("IMPORTRANGE(""https://docs.google.com/spreadsheets/d/1SX6NBoVAgQJ6U1MVXOaj8PK2l7WJ3RER9xtqwdhxkhw/edit?usp=sharing"",""ราชบุรี!J319"")"),25)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IFERROR(__xludf.DUMMYFUNCTION("IMPORTRANGE(""https://docs.google.com/spreadsheets/d/1SX6NBoVAgQJ6U1MVXOaj8PK2l7WJ3RER9xtqwdhxkhw/edit?usp=sharing"",""ราชบุรี!I320"")"),25)</f>
        <v>25</v>
      </c>
      <c r="J425" s="394">
        <f ca="1">IFERROR(__xludf.DUMMYFUNCTION("IMPORTRANGE(""https://docs.google.com/spreadsheets/d/1SX6NBoVAgQJ6U1MVXOaj8PK2l7WJ3RER9xtqwdhxkhw/edit?usp=sharing"",""ราชบุรี!J320"")"),25)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IFERROR(__xludf.DUMMYFUNCTION("IMPORTRANGE(""https://docs.google.com/spreadsheets/d/1SX6NBoVAgQJ6U1MVXOaj8PK2l7WJ3RER9xtqwdhxkhw/edit?usp=sharing"",""ราชบุรี!I321"")"),10)</f>
        <v>10</v>
      </c>
      <c r="J426" s="392">
        <f ca="1">IFERROR(__xludf.DUMMYFUNCTION("IMPORTRANGE(""https://docs.google.com/spreadsheets/d/1SX6NBoVAgQJ6U1MVXOaj8PK2l7WJ3RER9xtqwdhxkhw/edit?usp=sharing"",""ราชบุรี!J321"")"),10)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IFERROR(__xludf.DUMMYFUNCTION("IMPORTRANGE(""https://docs.google.com/spreadsheets/d/1SX6NBoVAgQJ6U1MVXOaj8PK2l7WJ3RER9xtqwdhxkhw/edit?usp=sharing"",""ราชบุรี!I322"")"),30)</f>
        <v>30</v>
      </c>
      <c r="J427" s="393">
        <f ca="1">IFERROR(__xludf.DUMMYFUNCTION("IMPORTRANGE(""https://docs.google.com/spreadsheets/d/1SX6NBoVAgQJ6U1MVXOaj8PK2l7WJ3RER9xtqwdhxkhw/edit?usp=sharing"",""ราชบุรี!J322"")"),30)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IFERROR(__xludf.DUMMYFUNCTION("IMPORTRANGE(""https://docs.google.com/spreadsheets/d/1SX6NBoVAgQJ6U1MVXOaj8PK2l7WJ3RER9xtqwdhxkhw/edit?usp=sharing"",""ราชบุรี!I323"")"),10)</f>
        <v>10</v>
      </c>
      <c r="J428" s="394">
        <f ca="1">IFERROR(__xludf.DUMMYFUNCTION("IMPORTRANGE(""https://docs.google.com/spreadsheets/d/1SX6NBoVAgQJ6U1MVXOaj8PK2l7WJ3RER9xtqwdhxkhw/edit?usp=sharing"",""ราชบุรี!J323"")"),10)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IFERROR(__xludf.DUMMYFUNCTION("IMPORTRANGE(""https://docs.google.com/spreadsheets/d/1SX6NBoVAgQJ6U1MVXOaj8PK2l7WJ3RER9xtqwdhxkhw/edit?usp=sharing"",""ราชบุรี!I324"")"),10)</f>
        <v>10</v>
      </c>
      <c r="J429" s="394">
        <f ca="1">IFERROR(__xludf.DUMMYFUNCTION("IMPORTRANGE(""https://docs.google.com/spreadsheets/d/1SX6NBoVAgQJ6U1MVXOaj8PK2l7WJ3RER9xtqwdhxkhw/edit?usp=sharing"",""ราชบุรี!J324"")"),10)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IFERROR(__xludf.DUMMYFUNCTION("IMPORTRANGE(""https://docs.google.com/spreadsheets/d/1SX6NBoVAgQJ6U1MVXOaj8PK2l7WJ3RER9xtqwdhxkhw/edit?usp=sharing"",""ราชบุรี!I325"")"),55)</f>
        <v>55</v>
      </c>
      <c r="J430" s="392">
        <f ca="1">IFERROR(__xludf.DUMMYFUNCTION("IMPORTRANGE(""https://docs.google.com/spreadsheets/d/1SX6NBoVAgQJ6U1MVXOaj8PK2l7WJ3RER9xtqwdhxkhw/edit?usp=sharing"",""ราชบุรี!J325"")"),0)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IFERROR(__xludf.DUMMYFUNCTION("IMPORTRANGE(""https://docs.google.com/spreadsheets/d/1SX6NBoVAgQJ6U1MVXOaj8PK2l7WJ3RER9xtqwdhxkhw/edit?usp=sharing"",""ราชบุรี!I326"")"),30)</f>
        <v>30</v>
      </c>
      <c r="J431" s="394">
        <f ca="1">IFERROR(__xludf.DUMMYFUNCTION("IMPORTRANGE(""https://docs.google.com/spreadsheets/d/1SX6NBoVAgQJ6U1MVXOaj8PK2l7WJ3RER9xtqwdhxkhw/edit?usp=sharing"",""ราชบุรี!J326"")"),0)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IFERROR(__xludf.DUMMYFUNCTION("IMPORTRANGE(""https://docs.google.com/spreadsheets/d/1SX6NBoVAgQJ6U1MVXOaj8PK2l7WJ3RER9xtqwdhxkhw/edit?usp=sharing"",""ราชบุรี!I327"")"),25)</f>
        <v>25</v>
      </c>
      <c r="J432" s="394">
        <f ca="1">IFERROR(__xludf.DUMMYFUNCTION("IMPORTRANGE(""https://docs.google.com/spreadsheets/d/1SX6NBoVAgQJ6U1MVXOaj8PK2l7WJ3RER9xtqwdhxkhw/edit?usp=sharing"",""ราชบุรี!J327"")"),0)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IFERROR(__xludf.DUMMYFUNCTION("IMPORTRANGE(""https://docs.google.com/spreadsheets/d/1SX6NBoVAgQJ6U1MVXOaj8PK2l7WJ3RER9xtqwdhxkhw/edit?usp=sharing"",""ราชบุรี!J328"")"),0)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IFERROR(__xludf.DUMMYFUNCTION("IMPORTRANGE(""https://docs.google.com/spreadsheets/d/1SX6NBoVAgQJ6U1MVXOaj8PK2l7WJ3RER9xtqwdhxkhw/edit?usp=sharing"",""ราชบุรี!J329"")"),0)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IFERROR(__xludf.DUMMYFUNCTION("IMPORTRANGE(""https://docs.google.com/spreadsheets/d/1SX6NBoVAgQJ6U1MVXOaj8PK2l7WJ3RER9xtqwdhxkhw/edit?usp=sharing"",""ราชบุรี!I330"")"),20)</f>
        <v>20</v>
      </c>
      <c r="J435" s="410">
        <f ca="1">IFERROR(__xludf.DUMMYFUNCTION("IMPORTRANGE(""https://docs.google.com/spreadsheets/d/1SX6NBoVAgQJ6U1MVXOaj8PK2l7WJ3RER9xtqwdhxkhw/edit?usp=sharing"",""ราชบุรี!J330"")"),20)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IFERROR(__xludf.DUMMYFUNCTION("IMPORTRANGE(""https://docs.google.com/spreadsheets/d/1SX6NBoVAgQJ6U1MVXOaj8PK2l7WJ3RER9xtqwdhxkhw/edit?usp=sharing"",""ราชบุรี!L330"")"),100000)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IFERROR(__xludf.DUMMYFUNCTION("IMPORTRANGE(""https://docs.google.com/spreadsheets/d/1SX6NBoVAgQJ6U1MVXOaj8PK2l7WJ3RER9xtqwdhxkhw/edit?usp=sharing"",""ราชบุรี!M330"")"),37878.38)</f>
        <v>37878.379999999997</v>
      </c>
      <c r="O435" s="412">
        <f t="shared" ref="O435:O439" ca="1" si="114">+IF(L435&gt;0,N435*100/L435,0)</f>
        <v>37.878379999999993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IFERROR(__xludf.DUMMYFUNCTION("IMPORTRANGE(""https://docs.google.com/spreadsheets/d/1SX6NBoVAgQJ6U1MVXOaj8PK2l7WJ3RER9xtqwdhxkhw/edit?usp=sharing"",""ราชบุรี!L331"")"),0)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IFERROR(__xludf.DUMMYFUNCTION("IMPORTRANGE(""https://docs.google.com/spreadsheets/d/1SX6NBoVAgQJ6U1MVXOaj8PK2l7WJ3RER9xtqwdhxkhw/edit?usp=sharing"",""ราชบุรี!M331"")"),0)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IFERROR(__xludf.DUMMYFUNCTION("IMPORTRANGE(""https://docs.google.com/spreadsheets/d/1SX6NBoVAgQJ6U1MVXOaj8PK2l7WJ3RER9xtqwdhxkhw/edit?usp=sharing"",""ราชบุรี!L332"")"),100000)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IFERROR(__xludf.DUMMYFUNCTION("IMPORTRANGE(""https://docs.google.com/spreadsheets/d/1SX6NBoVAgQJ6U1MVXOaj8PK2l7WJ3RER9xtqwdhxkhw/edit?usp=sharing"",""ราชบุรี!M332"")"),37878.38)</f>
        <v>37878.379999999997</v>
      </c>
      <c r="O437" s="169">
        <f t="shared" ca="1" si="114"/>
        <v>37.878379999999993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IFERROR(__xludf.DUMMYFUNCTION("IMPORTRANGE(""https://docs.google.com/spreadsheets/d/1SX6NBoVAgQJ6U1MVXOaj8PK2l7WJ3RER9xtqwdhxkhw/edit?usp=sharing"",""ราชบุรี!L333"")"),0)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IFERROR(__xludf.DUMMYFUNCTION("IMPORTRANGE(""https://docs.google.com/spreadsheets/d/1SX6NBoVAgQJ6U1MVXOaj8PK2l7WJ3RER9xtqwdhxkhw/edit?usp=sharing"",""ราชบุรี!M333"")"),0)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IFERROR(__xludf.DUMMYFUNCTION("IMPORTRANGE(""https://docs.google.com/spreadsheets/d/1SX6NBoVAgQJ6U1MVXOaj8PK2l7WJ3RER9xtqwdhxkhw/edit?usp=sharing"",""ราชบุรี!L334"")"),100000)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IFERROR(__xludf.DUMMYFUNCTION("IMPORTRANGE(""https://docs.google.com/spreadsheets/d/1SX6NBoVAgQJ6U1MVXOaj8PK2l7WJ3RER9xtqwdhxkhw/edit?usp=sharing"",""ราชบุรี!M334"")"),37878.38)</f>
        <v>37878.379999999997</v>
      </c>
      <c r="O439" s="169">
        <f t="shared" ca="1" si="114"/>
        <v>37.878379999999993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IFERROR(__xludf.DUMMYFUNCTION("IMPORTRANGE(""https://docs.google.com/spreadsheets/d/1SX6NBoVAgQJ6U1MVXOaj8PK2l7WJ3RER9xtqwdhxkhw/edit?usp=sharing"",""ราชบุรี!M335"")"),32440)</f>
        <v>32440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IFERROR(__xludf.DUMMYFUNCTION("IMPORTRANGE(""https://docs.google.com/spreadsheets/d/1SX6NBoVAgQJ6U1MVXOaj8PK2l7WJ3RER9xtqwdhxkhw/edit?usp=sharing"",""ราชบุรี!M336"")"),0)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IFERROR(__xludf.DUMMYFUNCTION("IMPORTRANGE(""https://docs.google.com/spreadsheets/d/1SX6NBoVAgQJ6U1MVXOaj8PK2l7WJ3RER9xtqwdhxkhw/edit?usp=sharing"",""ราชบุรี!M337"")"),0)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IFERROR(__xludf.DUMMYFUNCTION("IMPORTRANGE(""https://docs.google.com/spreadsheets/d/1SX6NBoVAgQJ6U1MVXOaj8PK2l7WJ3RER9xtqwdhxkhw/edit?usp=sharing"",""ราชบุรี!M338"")"),5438.38)</f>
        <v>5438.38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IFERROR(__xludf.DUMMYFUNCTION("IMPORTRANGE(""https://docs.google.com/spreadsheets/d/1SX6NBoVAgQJ6U1MVXOaj8PK2l7WJ3RER9xtqwdhxkhw/edit?usp=sharing"",""ราชบุรี!J340"")"),0)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IFERROR(__xludf.DUMMYFUNCTION("IMPORTRANGE(""https://docs.google.com/spreadsheets/d/1SX6NBoVAgQJ6U1MVXOaj8PK2l7WJ3RER9xtqwdhxkhw/edit?usp=sharing"",""ราชบุรี!J341"")"),1)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IFERROR(__xludf.DUMMYFUNCTION("IMPORTRANGE(""https://docs.google.com/spreadsheets/d/1SX6NBoVAgQJ6U1MVXOaj8PK2l7WJ3RER9xtqwdhxkhw/edit?usp=sharing"",""ราชบุรี!J342"")"),1)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IFERROR(__xludf.DUMMYFUNCTION("IMPORTRANGE(""https://docs.google.com/spreadsheets/d/1SX6NBoVAgQJ6U1MVXOaj8PK2l7WJ3RER9xtqwdhxkhw/edit?usp=sharing"",""ราชบุรี!J343"")"),1)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IFERROR(__xludf.DUMMYFUNCTION("IMPORTRANGE(""https://docs.google.com/spreadsheets/d/1SX6NBoVAgQJ6U1MVXOaj8PK2l7WJ3RER9xtqwdhxkhw/edit?usp=sharing"",""ราชบุรี!I344"")"),20)</f>
        <v>20</v>
      </c>
      <c r="J449" s="201">
        <f ca="1">IFERROR(__xludf.DUMMYFUNCTION("IMPORTRANGE(""https://docs.google.com/spreadsheets/d/1SX6NBoVAgQJ6U1MVXOaj8PK2l7WJ3RER9xtqwdhxkhw/edit?usp=sharing"",""ราชบุรี!J344"")"),20)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IFERROR(__xludf.DUMMYFUNCTION("IMPORTRANGE(""https://docs.google.com/spreadsheets/d/1SX6NBoVAgQJ6U1MVXOaj8PK2l7WJ3RER9xtqwdhxkhw/edit?usp=sharing"",""ราชบุรี!I345"")"),20)</f>
        <v>20</v>
      </c>
      <c r="J450" s="189">
        <f ca="1">IFERROR(__xludf.DUMMYFUNCTION("IMPORTRANGE(""https://docs.google.com/spreadsheets/d/1SX6NBoVAgQJ6U1MVXOaj8PK2l7WJ3RER9xtqwdhxkhw/edit?usp=sharing"",""ราชบุรี!J345"")"),20)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IFERROR(__xludf.DUMMYFUNCTION("IMPORTRANGE(""https://docs.google.com/spreadsheets/d/1SX6NBoVAgQJ6U1MVXOaj8PK2l7WJ3RER9xtqwdhxkhw/edit?usp=sharing"",""ราชบุรี!I346"")"),0)</f>
        <v>0</v>
      </c>
      <c r="J451" s="188">
        <f ca="1">IFERROR(__xludf.DUMMYFUNCTION("IMPORTRANGE(""https://docs.google.com/spreadsheets/d/1SX6NBoVAgQJ6U1MVXOaj8PK2l7WJ3RER9xtqwdhxkhw/edit?usp=sharing"",""ราชบุรี!J346"")"),0)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IFERROR(__xludf.DUMMYFUNCTION("IMPORTRANGE(""https://docs.google.com/spreadsheets/d/1SX6NBoVAgQJ6U1MVXOaj8PK2l7WJ3RER9xtqwdhxkhw/edit?usp=sharing"",""ราชบุรี!I347"")"),0)</f>
        <v>0</v>
      </c>
      <c r="J452" s="188">
        <f ca="1">IFERROR(__xludf.DUMMYFUNCTION("IMPORTRANGE(""https://docs.google.com/spreadsheets/d/1SX6NBoVAgQJ6U1MVXOaj8PK2l7WJ3RER9xtqwdhxkhw/edit?usp=sharing"",""ราชบุรี!J347"")"),0)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IFERROR(__xludf.DUMMYFUNCTION("IMPORTRANGE(""https://docs.google.com/spreadsheets/d/1SX6NBoVAgQJ6U1MVXOaj8PK2l7WJ3RER9xtqwdhxkhw/edit?usp=sharing"",""ราชบุรี!J348"")"),0)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IFERROR(__xludf.DUMMYFUNCTION("IMPORTRANGE(""https://docs.google.com/spreadsheets/d/1SX6NBoVAgQJ6U1MVXOaj8PK2l7WJ3RER9xtqwdhxkhw/edit?usp=sharing"",""ราชบุรี!J349"")"),0)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IFERROR(__xludf.DUMMYFUNCTION("IMPORTRANGE(""https://docs.google.com/spreadsheets/d/1SX6NBoVAgQJ6U1MVXOaj8PK2l7WJ3RER9xtqwdhxkhw/edit?usp=sharing"",""ราชบุรี!I350"")"),0)</f>
        <v>0</v>
      </c>
      <c r="J455" s="371">
        <f ca="1">IFERROR(__xludf.DUMMYFUNCTION("IMPORTRANGE(""https://docs.google.com/spreadsheets/d/1SX6NBoVAgQJ6U1MVXOaj8PK2l7WJ3RER9xtqwdhxkhw/edit?usp=sharing"",""ราชบุรี!J350"")"),0)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IFERROR(__xludf.DUMMYFUNCTION("IMPORTRANGE(""https://docs.google.com/spreadsheets/d/1SX6NBoVAgQJ6U1MVXOaj8PK2l7WJ3RER9xtqwdhxkhw/edit?usp=sharing"",""ราชบุรี!L350"")"),79312)</f>
        <v>79312</v>
      </c>
      <c r="M455" s="373"/>
      <c r="N455" s="373">
        <f ca="1">IFERROR(__xludf.DUMMYFUNCTION("IMPORTRANGE(""https://docs.google.com/spreadsheets/d/1SX6NBoVAgQJ6U1MVXOaj8PK2l7WJ3RER9xtqwdhxkhw/edit?usp=sharing"",""ราชบุรี!M350"")"),26114.54)</f>
        <v>26114.54</v>
      </c>
      <c r="O455" s="373">
        <f t="shared" ref="O455:O459" ca="1" si="116">+IF(L455&gt;0,N455*100/L455,0)</f>
        <v>32.92634153722009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IFERROR(__xludf.DUMMYFUNCTION("IMPORTRANGE(""https://docs.google.com/spreadsheets/d/1SX6NBoVAgQJ6U1MVXOaj8PK2l7WJ3RER9xtqwdhxkhw/edit?usp=sharing"",""ราชบุรี!L351"")"),0)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IFERROR(__xludf.DUMMYFUNCTION("IMPORTRANGE(""https://docs.google.com/spreadsheets/d/1SX6NBoVAgQJ6U1MVXOaj8PK2l7WJ3RER9xtqwdhxkhw/edit?usp=sharing"",""ราชบุรี!M351"")"),0)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IFERROR(__xludf.DUMMYFUNCTION("IMPORTRANGE(""https://docs.google.com/spreadsheets/d/1SX6NBoVAgQJ6U1MVXOaj8PK2l7WJ3RER9xtqwdhxkhw/edit?usp=sharing"",""ราชบุรี!L352"")"),79312)</f>
        <v>79312</v>
      </c>
      <c r="M457" s="165"/>
      <c r="N457" s="169">
        <f ca="1">IFERROR(__xludf.DUMMYFUNCTION("IMPORTRANGE(""https://docs.google.com/spreadsheets/d/1SX6NBoVAgQJ6U1MVXOaj8PK2l7WJ3RER9xtqwdhxkhw/edit?usp=sharing"",""ราชบุรี!M352"")"),26114.54)</f>
        <v>26114.54</v>
      </c>
      <c r="O457" s="169">
        <f t="shared" ca="1" si="116"/>
        <v>32.92634153722009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IFERROR(__xludf.DUMMYFUNCTION("IMPORTRANGE(""https://docs.google.com/spreadsheets/d/1SX6NBoVAgQJ6U1MVXOaj8PK2l7WJ3RER9xtqwdhxkhw/edit?usp=sharing"",""ราชบุรี!L353"")"),0)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IFERROR(__xludf.DUMMYFUNCTION("IMPORTRANGE(""https://docs.google.com/spreadsheets/d/1SX6NBoVAgQJ6U1MVXOaj8PK2l7WJ3RER9xtqwdhxkhw/edit?usp=sharing"",""ราชบุรี!M353"")"),0)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IFERROR(__xludf.DUMMYFUNCTION("IMPORTRANGE(""https://docs.google.com/spreadsheets/d/1SX6NBoVAgQJ6U1MVXOaj8PK2l7WJ3RER9xtqwdhxkhw/edit?usp=sharing"",""ราชบุรี!L354"")"),79312)</f>
        <v>79312</v>
      </c>
      <c r="M459" s="169"/>
      <c r="N459" s="169">
        <f ca="1">IFERROR(__xludf.DUMMYFUNCTION("IMPORTRANGE(""https://docs.google.com/spreadsheets/d/1SX6NBoVAgQJ6U1MVXOaj8PK2l7WJ3RER9xtqwdhxkhw/edit?usp=sharing"",""ราชบุรี!M354"")"),26114.54)</f>
        <v>26114.54</v>
      </c>
      <c r="O459" s="169">
        <f t="shared" ca="1" si="116"/>
        <v>32.92634153722009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IFERROR(__xludf.DUMMYFUNCTION("IMPORTRANGE(""https://docs.google.com/spreadsheets/d/1SX6NBoVAgQJ6U1MVXOaj8PK2l7WJ3RER9xtqwdhxkhw/edit?usp=sharing"",""ราชบุรี!M355"")"),0)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IFERROR(__xludf.DUMMYFUNCTION("IMPORTRANGE(""https://docs.google.com/spreadsheets/d/1SX6NBoVAgQJ6U1MVXOaj8PK2l7WJ3RER9xtqwdhxkhw/edit?usp=sharing"",""ราชบุรี!M356"")"),0)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IFERROR(__xludf.DUMMYFUNCTION("IMPORTRANGE(""https://docs.google.com/spreadsheets/d/1SX6NBoVAgQJ6U1MVXOaj8PK2l7WJ3RER9xtqwdhxkhw/edit?usp=sharing"",""ราชบุรี!M357"")"),0)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IFERROR(__xludf.DUMMYFUNCTION("IMPORTRANGE(""https://docs.google.com/spreadsheets/d/1SX6NBoVAgQJ6U1MVXOaj8PK2l7WJ3RER9xtqwdhxkhw/edit?usp=sharing"",""ราชบุรี!M358"")"),26114.54)</f>
        <v>26114.54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IFERROR(__xludf.DUMMYFUNCTION("IMPORTRANGE(""https://docs.google.com/spreadsheets/d/1SX6NBoVAgQJ6U1MVXOaj8PK2l7WJ3RER9xtqwdhxkhw/edit?usp=sharing"",""ราชบุรี!I359"")"),0)</f>
        <v>0</v>
      </c>
      <c r="J464" s="267">
        <f ca="1">IFERROR(__xludf.DUMMYFUNCTION("IMPORTRANGE(""https://docs.google.com/spreadsheets/d/1SX6NBoVAgQJ6U1MVXOaj8PK2l7WJ3RER9xtqwdhxkhw/edit?usp=sharing"",""ราชบุรี!J359"")"),0)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IFERROR(__xludf.DUMMYFUNCTION("IMPORTRANGE(""https://docs.google.com/spreadsheets/d/1SX6NBoVAgQJ6U1MVXOaj8PK2l7WJ3RER9xtqwdhxkhw/edit?usp=sharing"",""ราชบุรี!I360"")"),0)</f>
        <v>0</v>
      </c>
      <c r="J465" s="420">
        <f ca="1">IFERROR(__xludf.DUMMYFUNCTION("IMPORTRANGE(""https://docs.google.com/spreadsheets/d/1SX6NBoVAgQJ6U1MVXOaj8PK2l7WJ3RER9xtqwdhxkhw/edit?usp=sharing"",""ราชบุรี!J360"")"),0)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IFERROR(__xludf.DUMMYFUNCTION("IMPORTRANGE(""https://docs.google.com/spreadsheets/d/1SX6NBoVAgQJ6U1MVXOaj8PK2l7WJ3RER9xtqwdhxkhw/edit?usp=sharing"",""ราชบุรี!I361"")"),0)</f>
        <v>0</v>
      </c>
      <c r="J466" s="420">
        <f ca="1">IFERROR(__xludf.DUMMYFUNCTION("IMPORTRANGE(""https://docs.google.com/spreadsheets/d/1SX6NBoVAgQJ6U1MVXOaj8PK2l7WJ3RER9xtqwdhxkhw/edit?usp=sharing"",""ราชบุรี!J361"")"),0)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IFERROR(__xludf.DUMMYFUNCTION("IMPORTRANGE(""https://docs.google.com/spreadsheets/d/1SX6NBoVAgQJ6U1MVXOaj8PK2l7WJ3RER9xtqwdhxkhw/edit?usp=sharing"",""ราชบุรี!I362"")"),0)</f>
        <v>0</v>
      </c>
      <c r="J467" s="189">
        <f ca="1">IFERROR(__xludf.DUMMYFUNCTION("IMPORTRANGE(""https://docs.google.com/spreadsheets/d/1SX6NBoVAgQJ6U1MVXOaj8PK2l7WJ3RER9xtqwdhxkhw/edit?usp=sharing"",""ราชบุรี!J362"")"),0)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IFERROR(__xludf.DUMMYFUNCTION("IMPORTRANGE(""https://docs.google.com/spreadsheets/d/1SX6NBoVAgQJ6U1MVXOaj8PK2l7WJ3RER9xtqwdhxkhw/edit?usp=sharing"",""ราชบุรี!I363"")"),0)</f>
        <v>0</v>
      </c>
      <c r="J468" s="189">
        <f ca="1">IFERROR(__xludf.DUMMYFUNCTION("IMPORTRANGE(""https://docs.google.com/spreadsheets/d/1SX6NBoVAgQJ6U1MVXOaj8PK2l7WJ3RER9xtqwdhxkhw/edit?usp=sharing"",""ราชบุรี!J363"")"),0)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IFERROR(__xludf.DUMMYFUNCTION("IMPORTRANGE(""https://docs.google.com/spreadsheets/d/1SX6NBoVAgQJ6U1MVXOaj8PK2l7WJ3RER9xtqwdhxkhw/edit?usp=sharing"",""ราชบุรี!I364"")"),0)</f>
        <v>0</v>
      </c>
      <c r="J469" s="189">
        <f ca="1">IFERROR(__xludf.DUMMYFUNCTION("IMPORTRANGE(""https://docs.google.com/spreadsheets/d/1SX6NBoVAgQJ6U1MVXOaj8PK2l7WJ3RER9xtqwdhxkhw/edit?usp=sharing"",""ราชบุรี!J364"")"),0)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IFERROR(__xludf.DUMMYFUNCTION("IMPORTRANGE(""https://docs.google.com/spreadsheets/d/1SX6NBoVAgQJ6U1MVXOaj8PK2l7WJ3RER9xtqwdhxkhw/edit?usp=sharing"",""ราชบุรี!I365"")"),0)</f>
        <v>0</v>
      </c>
      <c r="J470" s="189">
        <f ca="1">IFERROR(__xludf.DUMMYFUNCTION("IMPORTRANGE(""https://docs.google.com/spreadsheets/d/1SX6NBoVAgQJ6U1MVXOaj8PK2l7WJ3RER9xtqwdhxkhw/edit?usp=sharing"",""ราชบุรี!J365"")"),0)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IFERROR(__xludf.DUMMYFUNCTION("IMPORTRANGE(""https://docs.google.com/spreadsheets/d/1SX6NBoVAgQJ6U1MVXOaj8PK2l7WJ3RER9xtqwdhxkhw/edit?usp=sharing"",""ราชบุรี!I366"")"),0)</f>
        <v>0</v>
      </c>
      <c r="J471" s="189">
        <f ca="1">IFERROR(__xludf.DUMMYFUNCTION("IMPORTRANGE(""https://docs.google.com/spreadsheets/d/1SX6NBoVAgQJ6U1MVXOaj8PK2l7WJ3RER9xtqwdhxkhw/edit?usp=sharing"",""ราชบุรี!J366"")"),0)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IFERROR(__xludf.DUMMYFUNCTION("IMPORTRANGE(""https://docs.google.com/spreadsheets/d/1SX6NBoVAgQJ6U1MVXOaj8PK2l7WJ3RER9xtqwdhxkhw/edit?usp=sharing"",""ราชบุรี!I367"")"),0)</f>
        <v>0</v>
      </c>
      <c r="J472" s="189">
        <f ca="1">IFERROR(__xludf.DUMMYFUNCTION("IMPORTRANGE(""https://docs.google.com/spreadsheets/d/1SX6NBoVAgQJ6U1MVXOaj8PK2l7WJ3RER9xtqwdhxkhw/edit?usp=sharing"",""ราชบุรี!J367"")"),0)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IFERROR(__xludf.DUMMYFUNCTION("IMPORTRANGE(""https://docs.google.com/spreadsheets/d/1SX6NBoVAgQJ6U1MVXOaj8PK2l7WJ3RER9xtqwdhxkhw/edit?usp=sharing"",""ราชบุรี!I368"")"),0)</f>
        <v>0</v>
      </c>
      <c r="J473" s="420">
        <f ca="1">IFERROR(__xludf.DUMMYFUNCTION("IMPORTRANGE(""https://docs.google.com/spreadsheets/d/1SX6NBoVAgQJ6U1MVXOaj8PK2l7WJ3RER9xtqwdhxkhw/edit?usp=sharing"",""ราชบุรี!J368"")"),0)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IFERROR(__xludf.DUMMYFUNCTION("IMPORTRANGE(""https://docs.google.com/spreadsheets/d/1SX6NBoVAgQJ6U1MVXOaj8PK2l7WJ3RER9xtqwdhxkhw/edit?usp=sharing"",""ราชบุรี!I369"")"),0)</f>
        <v>0</v>
      </c>
      <c r="J474" s="420">
        <f ca="1">IFERROR(__xludf.DUMMYFUNCTION("IMPORTRANGE(""https://docs.google.com/spreadsheets/d/1SX6NBoVAgQJ6U1MVXOaj8PK2l7WJ3RER9xtqwdhxkhw/edit?usp=sharing"",""ราชบุรี!J369"")"),0)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IFERROR(__xludf.DUMMYFUNCTION("IMPORTRANGE(""https://docs.google.com/spreadsheets/d/1SX6NBoVAgQJ6U1MVXOaj8PK2l7WJ3RER9xtqwdhxkhw/edit?usp=sharing"",""ราชบุรี!I370"")"),0)</f>
        <v>0</v>
      </c>
      <c r="J475" s="189">
        <f ca="1">IFERROR(__xludf.DUMMYFUNCTION("IMPORTRANGE(""https://docs.google.com/spreadsheets/d/1SX6NBoVAgQJ6U1MVXOaj8PK2l7WJ3RER9xtqwdhxkhw/edit?usp=sharing"",""ราชบุรี!J370"")"),0)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IFERROR(__xludf.DUMMYFUNCTION("IMPORTRANGE(""https://docs.google.com/spreadsheets/d/1SX6NBoVAgQJ6U1MVXOaj8PK2l7WJ3RER9xtqwdhxkhw/edit?usp=sharing"",""ราชบุรี!I371"")"),0)</f>
        <v>0</v>
      </c>
      <c r="J476" s="189">
        <f ca="1">IFERROR(__xludf.DUMMYFUNCTION("IMPORTRANGE(""https://docs.google.com/spreadsheets/d/1SX6NBoVAgQJ6U1MVXOaj8PK2l7WJ3RER9xtqwdhxkhw/edit?usp=sharing"",""ราชบุรี!J371"")"),0)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IFERROR(__xludf.DUMMYFUNCTION("IMPORTRANGE(""https://docs.google.com/spreadsheets/d/1SX6NBoVAgQJ6U1MVXOaj8PK2l7WJ3RER9xtqwdhxkhw/edit?usp=sharing"",""ราชบุรี!I372"")"),0)</f>
        <v>0</v>
      </c>
      <c r="J477" s="189">
        <f ca="1">IFERROR(__xludf.DUMMYFUNCTION("IMPORTRANGE(""https://docs.google.com/spreadsheets/d/1SX6NBoVAgQJ6U1MVXOaj8PK2l7WJ3RER9xtqwdhxkhw/edit?usp=sharing"",""ราชบุรี!J372"")"),0)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IFERROR(__xludf.DUMMYFUNCTION("IMPORTRANGE(""https://docs.google.com/spreadsheets/d/1SX6NBoVAgQJ6U1MVXOaj8PK2l7WJ3RER9xtqwdhxkhw/edit?usp=sharing"",""ราชบุรี!I373"")"),0)</f>
        <v>0</v>
      </c>
      <c r="J478" s="189">
        <f ca="1">IFERROR(__xludf.DUMMYFUNCTION("IMPORTRANGE(""https://docs.google.com/spreadsheets/d/1SX6NBoVAgQJ6U1MVXOaj8PK2l7WJ3RER9xtqwdhxkhw/edit?usp=sharing"",""ราชบุรี!J373"")"),0)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IFERROR(__xludf.DUMMYFUNCTION("IMPORTRANGE(""https://docs.google.com/spreadsheets/d/1SX6NBoVAgQJ6U1MVXOaj8PK2l7WJ3RER9xtqwdhxkhw/edit?usp=sharing"",""ราชบุรี!I374"")"),0)</f>
        <v>0</v>
      </c>
      <c r="J479" s="189">
        <f ca="1">IFERROR(__xludf.DUMMYFUNCTION("IMPORTRANGE(""https://docs.google.com/spreadsheets/d/1SX6NBoVAgQJ6U1MVXOaj8PK2l7WJ3RER9xtqwdhxkhw/edit?usp=sharing"",""ราชบุรี!J374"")"),0)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IFERROR(__xludf.DUMMYFUNCTION("IMPORTRANGE(""https://docs.google.com/spreadsheets/d/1SX6NBoVAgQJ6U1MVXOaj8PK2l7WJ3RER9xtqwdhxkhw/edit?usp=sharing"",""ราชบุรี!I375"")"),0)</f>
        <v>0</v>
      </c>
      <c r="J480" s="189">
        <f ca="1">IFERROR(__xludf.DUMMYFUNCTION("IMPORTRANGE(""https://docs.google.com/spreadsheets/d/1SX6NBoVAgQJ6U1MVXOaj8PK2l7WJ3RER9xtqwdhxkhw/edit?usp=sharing"",""ราชบุรี!J375"")"),0)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IFERROR(__xludf.DUMMYFUNCTION("IMPORTRANGE(""https://docs.google.com/spreadsheets/d/1SX6NBoVAgQJ6U1MVXOaj8PK2l7WJ3RER9xtqwdhxkhw/edit?usp=sharing"",""ราชบุรี!I376"")"),0)</f>
        <v>0</v>
      </c>
      <c r="J481" s="420">
        <f ca="1">IFERROR(__xludf.DUMMYFUNCTION("IMPORTRANGE(""https://docs.google.com/spreadsheets/d/1SX6NBoVAgQJ6U1MVXOaj8PK2l7WJ3RER9xtqwdhxkhw/edit?usp=sharing"",""ราชบุรี!J376"")"),0)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IFERROR(__xludf.DUMMYFUNCTION("IMPORTRANGE(""https://docs.google.com/spreadsheets/d/1SX6NBoVAgQJ6U1MVXOaj8PK2l7WJ3RER9xtqwdhxkhw/edit?usp=sharing"",""ราชบุรี!I377"")"),0)</f>
        <v>0</v>
      </c>
      <c r="J482" s="420">
        <f ca="1">IFERROR(__xludf.DUMMYFUNCTION("IMPORTRANGE(""https://docs.google.com/spreadsheets/d/1SX6NBoVAgQJ6U1MVXOaj8PK2l7WJ3RER9xtqwdhxkhw/edit?usp=sharing"",""ราชบุรี!J377"")"),0)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IFERROR(__xludf.DUMMYFUNCTION("IMPORTRANGE(""https://docs.google.com/spreadsheets/d/1SX6NBoVAgQJ6U1MVXOaj8PK2l7WJ3RER9xtqwdhxkhw/edit?usp=sharing"",""ราชบุรี!I378"")"),0)</f>
        <v>0</v>
      </c>
      <c r="J483" s="189">
        <f ca="1">IFERROR(__xludf.DUMMYFUNCTION("IMPORTRANGE(""https://docs.google.com/spreadsheets/d/1SX6NBoVAgQJ6U1MVXOaj8PK2l7WJ3RER9xtqwdhxkhw/edit?usp=sharing"",""ราชบุรี!J378"")"),0)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IFERROR(__xludf.DUMMYFUNCTION("IMPORTRANGE(""https://docs.google.com/spreadsheets/d/1SX6NBoVAgQJ6U1MVXOaj8PK2l7WJ3RER9xtqwdhxkhw/edit?usp=sharing"",""ราชบุรี!I379"")"),0)</f>
        <v>0</v>
      </c>
      <c r="J484" s="189">
        <f ca="1">IFERROR(__xludf.DUMMYFUNCTION("IMPORTRANGE(""https://docs.google.com/spreadsheets/d/1SX6NBoVAgQJ6U1MVXOaj8PK2l7WJ3RER9xtqwdhxkhw/edit?usp=sharing"",""ราชบุรี!J379"")"),0)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IFERROR(__xludf.DUMMYFUNCTION("IMPORTRANGE(""https://docs.google.com/spreadsheets/d/1SX6NBoVAgQJ6U1MVXOaj8PK2l7WJ3RER9xtqwdhxkhw/edit?usp=sharing"",""ราชบุรี!I380"")"),0)</f>
        <v>0</v>
      </c>
      <c r="J485" s="189">
        <f ca="1">IFERROR(__xludf.DUMMYFUNCTION("IMPORTRANGE(""https://docs.google.com/spreadsheets/d/1SX6NBoVAgQJ6U1MVXOaj8PK2l7WJ3RER9xtqwdhxkhw/edit?usp=sharing"",""ราชบุรี!J380"")"),0)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IFERROR(__xludf.DUMMYFUNCTION("IMPORTRANGE(""https://docs.google.com/spreadsheets/d/1SX6NBoVAgQJ6U1MVXOaj8PK2l7WJ3RER9xtqwdhxkhw/edit?usp=sharing"",""ราชบุรี!I381"")"),0)</f>
        <v>0</v>
      </c>
      <c r="J486" s="189">
        <f ca="1">IFERROR(__xludf.DUMMYFUNCTION("IMPORTRANGE(""https://docs.google.com/spreadsheets/d/1SX6NBoVAgQJ6U1MVXOaj8PK2l7WJ3RER9xtqwdhxkhw/edit?usp=sharing"",""ราชบุรี!J381"")"),0)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IFERROR(__xludf.DUMMYFUNCTION("IMPORTRANGE(""https://docs.google.com/spreadsheets/d/1SX6NBoVAgQJ6U1MVXOaj8PK2l7WJ3RER9xtqwdhxkhw/edit?usp=sharing"",""ราชบุรี!I382"")"),0)</f>
        <v>0</v>
      </c>
      <c r="J487" s="420">
        <f ca="1">IFERROR(__xludf.DUMMYFUNCTION("IMPORTRANGE(""https://docs.google.com/spreadsheets/d/1SX6NBoVAgQJ6U1MVXOaj8PK2l7WJ3RER9xtqwdhxkhw/edit?usp=sharing"",""ราชบุรี!J382"")"),0)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IFERROR(__xludf.DUMMYFUNCTION("IMPORTRANGE(""https://docs.google.com/spreadsheets/d/1SX6NBoVAgQJ6U1MVXOaj8PK2l7WJ3RER9xtqwdhxkhw/edit?usp=sharing"",""ราชบุรี!I383"")"),0)</f>
        <v>0</v>
      </c>
      <c r="J488" s="420">
        <f ca="1">IFERROR(__xludf.DUMMYFUNCTION("IMPORTRANGE(""https://docs.google.com/spreadsheets/d/1SX6NBoVAgQJ6U1MVXOaj8PK2l7WJ3RER9xtqwdhxkhw/edit?usp=sharing"",""ราชบุรี!J383"")"),0)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IFERROR(__xludf.DUMMYFUNCTION("IMPORTRANGE(""https://docs.google.com/spreadsheets/d/1SX6NBoVAgQJ6U1MVXOaj8PK2l7WJ3RER9xtqwdhxkhw/edit?usp=sharing"",""ราชบุรี!I384"")"),0)</f>
        <v>0</v>
      </c>
      <c r="J489" s="189">
        <f ca="1">IFERROR(__xludf.DUMMYFUNCTION("IMPORTRANGE(""https://docs.google.com/spreadsheets/d/1SX6NBoVAgQJ6U1MVXOaj8PK2l7WJ3RER9xtqwdhxkhw/edit?usp=sharing"",""ราชบุรี!J384"")"),0)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IFERROR(__xludf.DUMMYFUNCTION("IMPORTRANGE(""https://docs.google.com/spreadsheets/d/1SX6NBoVAgQJ6U1MVXOaj8PK2l7WJ3RER9xtqwdhxkhw/edit?usp=sharing"",""ราชบุรี!I385"")"),0)</f>
        <v>0</v>
      </c>
      <c r="J490" s="189">
        <f ca="1">IFERROR(__xludf.DUMMYFUNCTION("IMPORTRANGE(""https://docs.google.com/spreadsheets/d/1SX6NBoVAgQJ6U1MVXOaj8PK2l7WJ3RER9xtqwdhxkhw/edit?usp=sharing"",""ราชบุรี!J385"")"),0)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IFERROR(__xludf.DUMMYFUNCTION("IMPORTRANGE(""https://docs.google.com/spreadsheets/d/1SX6NBoVAgQJ6U1MVXOaj8PK2l7WJ3RER9xtqwdhxkhw/edit?usp=sharing"",""ราชบุรี!I386"")"),0)</f>
        <v>0</v>
      </c>
      <c r="J491" s="189">
        <f ca="1">IFERROR(__xludf.DUMMYFUNCTION("IMPORTRANGE(""https://docs.google.com/spreadsheets/d/1SX6NBoVAgQJ6U1MVXOaj8PK2l7WJ3RER9xtqwdhxkhw/edit?usp=sharing"",""ราชบุรี!J386"")"),0)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IFERROR(__xludf.DUMMYFUNCTION("IMPORTRANGE(""https://docs.google.com/spreadsheets/d/1SX6NBoVAgQJ6U1MVXOaj8PK2l7WJ3RER9xtqwdhxkhw/edit?usp=sharing"",""ราชบุรี!I387"")"),0)</f>
        <v>0</v>
      </c>
      <c r="J492" s="189">
        <f ca="1">IFERROR(__xludf.DUMMYFUNCTION("IMPORTRANGE(""https://docs.google.com/spreadsheets/d/1SX6NBoVAgQJ6U1MVXOaj8PK2l7WJ3RER9xtqwdhxkhw/edit?usp=sharing"",""ราชบุรี!J387"")"),0)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IFERROR(__xludf.DUMMYFUNCTION("IMPORTRANGE(""https://docs.google.com/spreadsheets/d/1SX6NBoVAgQJ6U1MVXOaj8PK2l7WJ3RER9xtqwdhxkhw/edit?usp=sharing"",""ราชบุรี!I388"")"),0)</f>
        <v>0</v>
      </c>
      <c r="J493" s="189">
        <f ca="1">IFERROR(__xludf.DUMMYFUNCTION("IMPORTRANGE(""https://docs.google.com/spreadsheets/d/1SX6NBoVAgQJ6U1MVXOaj8PK2l7WJ3RER9xtqwdhxkhw/edit?usp=sharing"",""ราชบุรี!J388"")"),0)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IFERROR(__xludf.DUMMYFUNCTION("IMPORTRANGE(""https://docs.google.com/spreadsheets/d/1SX6NBoVAgQJ6U1MVXOaj8PK2l7WJ3RER9xtqwdhxkhw/edit?usp=sharing"",""ราชบุรี!I389"")"),0)</f>
        <v>0</v>
      </c>
      <c r="J494" s="436">
        <f ca="1">IFERROR(__xludf.DUMMYFUNCTION("IMPORTRANGE(""https://docs.google.com/spreadsheets/d/1SX6NBoVAgQJ6U1MVXOaj8PK2l7WJ3RER9xtqwdhxkhw/edit?usp=sharing"",""ราชบุรี!J389"")"),0)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IFERROR(__xludf.DUMMYFUNCTION("IMPORTRANGE(""https://docs.google.com/spreadsheets/d/1SX6NBoVAgQJ6U1MVXOaj8PK2l7WJ3RER9xtqwdhxkhw/edit?usp=sharing"",""ราชบุรี!I390"")"),0)</f>
        <v>0</v>
      </c>
      <c r="J495" s="436">
        <f ca="1">IFERROR(__xludf.DUMMYFUNCTION("IMPORTRANGE(""https://docs.google.com/spreadsheets/d/1SX6NBoVAgQJ6U1MVXOaj8PK2l7WJ3RER9xtqwdhxkhw/edit?usp=sharing"",""ราชบุรี!J390"")"),0)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IFERROR(__xludf.DUMMYFUNCTION("IMPORTRANGE(""https://docs.google.com/spreadsheets/d/1SX6NBoVAgQJ6U1MVXOaj8PK2l7WJ3RER9xtqwdhxkhw/edit?usp=sharing"",""ราชบุรี!I391"")"),0)</f>
        <v>0</v>
      </c>
      <c r="J496" s="436">
        <f ca="1">IFERROR(__xludf.DUMMYFUNCTION("IMPORTRANGE(""https://docs.google.com/spreadsheets/d/1SX6NBoVAgQJ6U1MVXOaj8PK2l7WJ3RER9xtqwdhxkhw/edit?usp=sharing"",""ราชบุรี!J391"")"),0)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IFERROR(__xludf.DUMMYFUNCTION("IMPORTRANGE(""https://docs.google.com/spreadsheets/d/1SX6NBoVAgQJ6U1MVXOaj8PK2l7WJ3RER9xtqwdhxkhw/edit?usp=sharing"",""ราชบุรี!I392"")"),1712)</f>
        <v>1712</v>
      </c>
      <c r="J497" s="443">
        <f ca="1">IFERROR(__xludf.DUMMYFUNCTION("IMPORTRANGE(""https://docs.google.com/spreadsheets/d/1SX6NBoVAgQJ6U1MVXOaj8PK2l7WJ3RER9xtqwdhxkhw/edit?usp=sharing"",""ราชบุรี!J392"")"),342)</f>
        <v>342</v>
      </c>
      <c r="K497" s="444">
        <f t="shared" ca="1" si="117"/>
        <v>19.976635514018692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IFERROR(__xludf.DUMMYFUNCTION("IMPORTRANGE(""https://docs.google.com/spreadsheets/d/1SX6NBoVAgQJ6U1MVXOaj8PK2l7WJ3RER9xtqwdhxkhw/edit?usp=sharing"",""ราชบุรี!I393"")"),1712)</f>
        <v>1712</v>
      </c>
      <c r="J498" s="420">
        <f ca="1">IFERROR(__xludf.DUMMYFUNCTION("IMPORTRANGE(""https://docs.google.com/spreadsheets/d/1SX6NBoVAgQJ6U1MVXOaj8PK2l7WJ3RER9xtqwdhxkhw/edit?usp=sharing"",""ราชบุรี!J393"")"),342)</f>
        <v>342</v>
      </c>
      <c r="K498" s="202">
        <f t="shared" ca="1" si="117"/>
        <v>19.976635514018692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IFERROR(__xludf.DUMMYFUNCTION("IMPORTRANGE(""https://docs.google.com/spreadsheets/d/1SX6NBoVAgQJ6U1MVXOaj8PK2l7WJ3RER9xtqwdhxkhw/edit?usp=sharing"",""ราชบุรี!I394"")"),117)</f>
        <v>117</v>
      </c>
      <c r="J499" s="420">
        <f ca="1">IFERROR(__xludf.DUMMYFUNCTION("IMPORTRANGE(""https://docs.google.com/spreadsheets/d/1SX6NBoVAgQJ6U1MVXOaj8PK2l7WJ3RER9xtqwdhxkhw/edit?usp=sharing"",""ราชบุรี!J394"")"),23)</f>
        <v>23</v>
      </c>
      <c r="K499" s="202">
        <f t="shared" ca="1" si="117"/>
        <v>19.658119658119659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IFERROR(__xludf.DUMMYFUNCTION("IMPORTRANGE(""https://docs.google.com/spreadsheets/d/1SX6NBoVAgQJ6U1MVXOaj8PK2l7WJ3RER9xtqwdhxkhw/edit?usp=sharing"",""ราชบุรี!I395"")"),0)</f>
        <v>0</v>
      </c>
      <c r="J500" s="162">
        <f ca="1">IFERROR(__xludf.DUMMYFUNCTION("IMPORTRANGE(""https://docs.google.com/spreadsheets/d/1SX6NBoVAgQJ6U1MVXOaj8PK2l7WJ3RER9xtqwdhxkhw/edit?usp=sharing"",""ราชบุรี!J395"")"),342)</f>
        <v>342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IFERROR(__xludf.DUMMYFUNCTION("IMPORTRANGE(""https://docs.google.com/spreadsheets/d/1SX6NBoVAgQJ6U1MVXOaj8PK2l7WJ3RER9xtqwdhxkhw/edit?usp=sharing"",""ราชบุรี!I396"")"),0)</f>
        <v>0</v>
      </c>
      <c r="J501" s="162">
        <f ca="1">IFERROR(__xludf.DUMMYFUNCTION("IMPORTRANGE(""https://docs.google.com/spreadsheets/d/1SX6NBoVAgQJ6U1MVXOaj8PK2l7WJ3RER9xtqwdhxkhw/edit?usp=sharing"",""ราชบุรี!J396"")"),23)</f>
        <v>23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IFERROR(__xludf.DUMMYFUNCTION("IMPORTRANGE(""https://docs.google.com/spreadsheets/d/1SX6NBoVAgQJ6U1MVXOaj8PK2l7WJ3RER9xtqwdhxkhw/edit?usp=sharing"",""ราชบุรี!I397"")"),0)</f>
        <v>0</v>
      </c>
      <c r="J502" s="189">
        <f ca="1">IFERROR(__xludf.DUMMYFUNCTION("IMPORTRANGE(""https://docs.google.com/spreadsheets/d/1SX6NBoVAgQJ6U1MVXOaj8PK2l7WJ3RER9xtqwdhxkhw/edit?usp=sharing"",""ราชบุรี!J397"")"),342)</f>
        <v>342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IFERROR(__xludf.DUMMYFUNCTION("IMPORTRANGE(""https://docs.google.com/spreadsheets/d/1SX6NBoVAgQJ6U1MVXOaj8PK2l7WJ3RER9xtqwdhxkhw/edit?usp=sharing"",""ราชบุรี!I398"")"),0)</f>
        <v>0</v>
      </c>
      <c r="J503" s="198">
        <f ca="1">IFERROR(__xludf.DUMMYFUNCTION("IMPORTRANGE(""https://docs.google.com/spreadsheets/d/1SX6NBoVAgQJ6U1MVXOaj8PK2l7WJ3RER9xtqwdhxkhw/edit?usp=sharing"",""ราชบุรี!J398"")"),23)</f>
        <v>23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IFERROR(__xludf.DUMMYFUNCTION("IMPORTRANGE(""https://docs.google.com/spreadsheets/d/1SX6NBoVAgQJ6U1MVXOaj8PK2l7WJ3RER9xtqwdhxkhw/edit?usp=sharing"",""ราชบุรี!I399"")"),0)</f>
        <v>0</v>
      </c>
      <c r="J504" s="189">
        <f ca="1">IFERROR(__xludf.DUMMYFUNCTION("IMPORTRANGE(""https://docs.google.com/spreadsheets/d/1SX6NBoVAgQJ6U1MVXOaj8PK2l7WJ3RER9xtqwdhxkhw/edit?usp=sharing"",""ราชบุรี!J399"")"),0)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IFERROR(__xludf.DUMMYFUNCTION("IMPORTRANGE(""https://docs.google.com/spreadsheets/d/1SX6NBoVAgQJ6U1MVXOaj8PK2l7WJ3RER9xtqwdhxkhw/edit?usp=sharing"",""ราชบุรี!I400"")"),0)</f>
        <v>0</v>
      </c>
      <c r="J505" s="198">
        <f ca="1">IFERROR(__xludf.DUMMYFUNCTION("IMPORTRANGE(""https://docs.google.com/spreadsheets/d/1SX6NBoVAgQJ6U1MVXOaj8PK2l7WJ3RER9xtqwdhxkhw/edit?usp=sharing"",""ราชบุรี!J400"")"),0)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IFERROR(__xludf.DUMMYFUNCTION("IMPORTRANGE(""https://docs.google.com/spreadsheets/d/1SX6NBoVAgQJ6U1MVXOaj8PK2l7WJ3RER9xtqwdhxkhw/edit?usp=sharing"",""ราชบุรี!I401"")"),0)</f>
        <v>0</v>
      </c>
      <c r="J506" s="189">
        <f ca="1">IFERROR(__xludf.DUMMYFUNCTION("IMPORTRANGE(""https://docs.google.com/spreadsheets/d/1SX6NBoVAgQJ6U1MVXOaj8PK2l7WJ3RER9xtqwdhxkhw/edit?usp=sharing"",""ราชบุรี!J401"")"),0)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IFERROR(__xludf.DUMMYFUNCTION("IMPORTRANGE(""https://docs.google.com/spreadsheets/d/1SX6NBoVAgQJ6U1MVXOaj8PK2l7WJ3RER9xtqwdhxkhw/edit?usp=sharing"",""ราชบุรี!I402"")"),0)</f>
        <v>0</v>
      </c>
      <c r="J507" s="198">
        <f ca="1">IFERROR(__xludf.DUMMYFUNCTION("IMPORTRANGE(""https://docs.google.com/spreadsheets/d/1SX6NBoVAgQJ6U1MVXOaj8PK2l7WJ3RER9xtqwdhxkhw/edit?usp=sharing"",""ราชบุรี!J402"")"),0)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IFERROR(__xludf.DUMMYFUNCTION("IMPORTRANGE(""https://docs.google.com/spreadsheets/d/1SX6NBoVAgQJ6U1MVXOaj8PK2l7WJ3RER9xtqwdhxkhw/edit?usp=sharing"",""ราชบุรี!I403"")"),0)</f>
        <v>0</v>
      </c>
      <c r="J508" s="162">
        <f ca="1">IFERROR(__xludf.DUMMYFUNCTION("IMPORTRANGE(""https://docs.google.com/spreadsheets/d/1SX6NBoVAgQJ6U1MVXOaj8PK2l7WJ3RER9xtqwdhxkhw/edit?usp=sharing"",""ราชบุรี!J403"")"),0)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IFERROR(__xludf.DUMMYFUNCTION("IMPORTRANGE(""https://docs.google.com/spreadsheets/d/1SX6NBoVAgQJ6U1MVXOaj8PK2l7WJ3RER9xtqwdhxkhw/edit?usp=sharing"",""ราชบุรี!I404"")"),0)</f>
        <v>0</v>
      </c>
      <c r="J509" s="162">
        <f ca="1">IFERROR(__xludf.DUMMYFUNCTION("IMPORTRANGE(""https://docs.google.com/spreadsheets/d/1SX6NBoVAgQJ6U1MVXOaj8PK2l7WJ3RER9xtqwdhxkhw/edit?usp=sharing"",""ราชบุรี!J404"")"),0)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IFERROR(__xludf.DUMMYFUNCTION("IMPORTRANGE(""https://docs.google.com/spreadsheets/d/1SX6NBoVAgQJ6U1MVXOaj8PK2l7WJ3RER9xtqwdhxkhw/edit?usp=sharing"",""ราชบุรี!I405"")"),0)</f>
        <v>0</v>
      </c>
      <c r="J510" s="198">
        <f ca="1">IFERROR(__xludf.DUMMYFUNCTION("IMPORTRANGE(""https://docs.google.com/spreadsheets/d/1SX6NBoVAgQJ6U1MVXOaj8PK2l7WJ3RER9xtqwdhxkhw/edit?usp=sharing"",""ราชบุรี!J405"")"),0)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IFERROR(__xludf.DUMMYFUNCTION("IMPORTRANGE(""https://docs.google.com/spreadsheets/d/1SX6NBoVAgQJ6U1MVXOaj8PK2l7WJ3RER9xtqwdhxkhw/edit?usp=sharing"",""ราชบุรี!I406"")"),0)</f>
        <v>0</v>
      </c>
      <c r="J511" s="198">
        <f ca="1">IFERROR(__xludf.DUMMYFUNCTION("IMPORTRANGE(""https://docs.google.com/spreadsheets/d/1SX6NBoVAgQJ6U1MVXOaj8PK2l7WJ3RER9xtqwdhxkhw/edit?usp=sharing"",""ราชบุรี!J406"")"),0)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IFERROR(__xludf.DUMMYFUNCTION("IMPORTRANGE(""https://docs.google.com/spreadsheets/d/1SX6NBoVAgQJ6U1MVXOaj8PK2l7WJ3RER9xtqwdhxkhw/edit?usp=sharing"",""ราชบุรี!I407"")"),0)</f>
        <v>0</v>
      </c>
      <c r="J512" s="198">
        <f ca="1">IFERROR(__xludf.DUMMYFUNCTION("IMPORTRANGE(""https://docs.google.com/spreadsheets/d/1SX6NBoVAgQJ6U1MVXOaj8PK2l7WJ3RER9xtqwdhxkhw/edit?usp=sharing"",""ราชบุรี!J407"")"),0)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IFERROR(__xludf.DUMMYFUNCTION("IMPORTRANGE(""https://docs.google.com/spreadsheets/d/1SX6NBoVAgQJ6U1MVXOaj8PK2l7WJ3RER9xtqwdhxkhw/edit?usp=sharing"",""ราชบุรี!I408"")"),0)</f>
        <v>0</v>
      </c>
      <c r="J513" s="198">
        <f ca="1">IFERROR(__xludf.DUMMYFUNCTION("IMPORTRANGE(""https://docs.google.com/spreadsheets/d/1SX6NBoVAgQJ6U1MVXOaj8PK2l7WJ3RER9xtqwdhxkhw/edit?usp=sharing"",""ราชบุรี!J408"")"),0)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IFERROR(__xludf.DUMMYFUNCTION("IMPORTRANGE(""https://docs.google.com/spreadsheets/d/1SX6NBoVAgQJ6U1MVXOaj8PK2l7WJ3RER9xtqwdhxkhw/edit?usp=sharing"",""ราชบุรี!I409"")"),0)</f>
        <v>0</v>
      </c>
      <c r="J514" s="198">
        <f ca="1">IFERROR(__xludf.DUMMYFUNCTION("IMPORTRANGE(""https://docs.google.com/spreadsheets/d/1SX6NBoVAgQJ6U1MVXOaj8PK2l7WJ3RER9xtqwdhxkhw/edit?usp=sharing"",""ราชบุรี!J409"")"),0)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IFERROR(__xludf.DUMMYFUNCTION("IMPORTRANGE(""https://docs.google.com/spreadsheets/d/1SX6NBoVAgQJ6U1MVXOaj8PK2l7WJ3RER9xtqwdhxkhw/edit?usp=sharing"",""ราชบุรี!I410"")"),0)</f>
        <v>0</v>
      </c>
      <c r="J515" s="198">
        <f ca="1">IFERROR(__xludf.DUMMYFUNCTION("IMPORTRANGE(""https://docs.google.com/spreadsheets/d/1SX6NBoVAgQJ6U1MVXOaj8PK2l7WJ3RER9xtqwdhxkhw/edit?usp=sharing"",""ราชบุรี!J410"")"),0)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IFERROR(__xludf.DUMMYFUNCTION("IMPORTRANGE(""https://docs.google.com/spreadsheets/d/1SX6NBoVAgQJ6U1MVXOaj8PK2l7WJ3RER9xtqwdhxkhw/edit?usp=sharing"",""ราชบุรี!I411"")"),0)</f>
        <v>0</v>
      </c>
      <c r="J516" s="267">
        <f ca="1">IFERROR(__xludf.DUMMYFUNCTION("IMPORTRANGE(""https://docs.google.com/spreadsheets/d/1SX6NBoVAgQJ6U1MVXOaj8PK2l7WJ3RER9xtqwdhxkhw/edit?usp=sharing"",""ราชบุรี!J411"")"),0)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IFERROR(__xludf.DUMMYFUNCTION("IMPORTRANGE(""https://docs.google.com/spreadsheets/d/1SX6NBoVAgQJ6U1MVXOaj8PK2l7WJ3RER9xtqwdhxkhw/edit?usp=sharing"",""ราชบุรี!I412"")"),0)</f>
        <v>0</v>
      </c>
      <c r="J517" s="284">
        <f ca="1">IFERROR(__xludf.DUMMYFUNCTION("IMPORTRANGE(""https://docs.google.com/spreadsheets/d/1SX6NBoVAgQJ6U1MVXOaj8PK2l7WJ3RER9xtqwdhxkhw/edit?usp=sharing"",""ราชบุรี!J412"")"),0)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IFERROR(__xludf.DUMMYFUNCTION("IMPORTRANGE(""https://docs.google.com/spreadsheets/d/1SX6NBoVAgQJ6U1MVXOaj8PK2l7WJ3RER9xtqwdhxkhw/edit?usp=sharing"",""ราชบุรี!I413"")"),0)</f>
        <v>0</v>
      </c>
      <c r="J518" s="284">
        <f ca="1">IFERROR(__xludf.DUMMYFUNCTION("IMPORTRANGE(""https://docs.google.com/spreadsheets/d/1SX6NBoVAgQJ6U1MVXOaj8PK2l7WJ3RER9xtqwdhxkhw/edit?usp=sharing"",""ราชบุรี!J413"")"),0)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IFERROR(__xludf.DUMMYFUNCTION("IMPORTRANGE(""https://docs.google.com/spreadsheets/d/1SX6NBoVAgQJ6U1MVXOaj8PK2l7WJ3RER9xtqwdhxkhw/edit?usp=sharing"",""ราชบุรี!I414"")"),0)</f>
        <v>0</v>
      </c>
      <c r="J519" s="188">
        <f ca="1">IFERROR(__xludf.DUMMYFUNCTION("IMPORTRANGE(""https://docs.google.com/spreadsheets/d/1SX6NBoVAgQJ6U1MVXOaj8PK2l7WJ3RER9xtqwdhxkhw/edit?usp=sharing"",""ราชบุรี!J414"")"),0)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IFERROR(__xludf.DUMMYFUNCTION("IMPORTRANGE(""https://docs.google.com/spreadsheets/d/1SX6NBoVAgQJ6U1MVXOaj8PK2l7WJ3RER9xtqwdhxkhw/edit?usp=sharing"",""ราชบุรี!I415"")"),0)</f>
        <v>0</v>
      </c>
      <c r="J520" s="188">
        <f ca="1">IFERROR(__xludf.DUMMYFUNCTION("IMPORTRANGE(""https://docs.google.com/spreadsheets/d/1SX6NBoVAgQJ6U1MVXOaj8PK2l7WJ3RER9xtqwdhxkhw/edit?usp=sharing"",""ราชบุรี!J415"")"),0)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IFERROR(__xludf.DUMMYFUNCTION("IMPORTRANGE(""https://docs.google.com/spreadsheets/d/1SX6NBoVAgQJ6U1MVXOaj8PK2l7WJ3RER9xtqwdhxkhw/edit?usp=sharing"",""ราชบุรี!I416"")"),0)</f>
        <v>0</v>
      </c>
      <c r="J521" s="188">
        <f ca="1">IFERROR(__xludf.DUMMYFUNCTION("IMPORTRANGE(""https://docs.google.com/spreadsheets/d/1SX6NBoVAgQJ6U1MVXOaj8PK2l7WJ3RER9xtqwdhxkhw/edit?usp=sharing"",""ราชบุรี!J416"")"),0)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IFERROR(__xludf.DUMMYFUNCTION("IMPORTRANGE(""https://docs.google.com/spreadsheets/d/1SX6NBoVAgQJ6U1MVXOaj8PK2l7WJ3RER9xtqwdhxkhw/edit?usp=sharing"",""ราชบุรี!I417"")"),0)</f>
        <v>0</v>
      </c>
      <c r="J522" s="188">
        <f ca="1">IFERROR(__xludf.DUMMYFUNCTION("IMPORTRANGE(""https://docs.google.com/spreadsheets/d/1SX6NBoVAgQJ6U1MVXOaj8PK2l7WJ3RER9xtqwdhxkhw/edit?usp=sharing"",""ราชบุรี!J417"")"),0)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IFERROR(__xludf.DUMMYFUNCTION("IMPORTRANGE(""https://docs.google.com/spreadsheets/d/1SX6NBoVAgQJ6U1MVXOaj8PK2l7WJ3RER9xtqwdhxkhw/edit?usp=sharing"",""ราชบุรี!I418"")"),0)</f>
        <v>0</v>
      </c>
      <c r="J523" s="188">
        <f ca="1">IFERROR(__xludf.DUMMYFUNCTION("IMPORTRANGE(""https://docs.google.com/spreadsheets/d/1SX6NBoVAgQJ6U1MVXOaj8PK2l7WJ3RER9xtqwdhxkhw/edit?usp=sharing"",""ราชบุรี!J418"")"),0)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IFERROR(__xludf.DUMMYFUNCTION("IMPORTRANGE(""https://docs.google.com/spreadsheets/d/1SX6NBoVAgQJ6U1MVXOaj8PK2l7WJ3RER9xtqwdhxkhw/edit?usp=sharing"",""ราชบุรี!I419"")"),0)</f>
        <v>0</v>
      </c>
      <c r="J524" s="188">
        <f ca="1">IFERROR(__xludf.DUMMYFUNCTION("IMPORTRANGE(""https://docs.google.com/spreadsheets/d/1SX6NBoVAgQJ6U1MVXOaj8PK2l7WJ3RER9xtqwdhxkhw/edit?usp=sharing"",""ราชบุรี!J419"")"),0)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IFERROR(__xludf.DUMMYFUNCTION("IMPORTRANGE(""https://docs.google.com/spreadsheets/d/1SX6NBoVAgQJ6U1MVXOaj8PK2l7WJ3RER9xtqwdhxkhw/edit?usp=sharing"",""ราชบุรี!I420"")"),0)</f>
        <v>0</v>
      </c>
      <c r="J525" s="284">
        <f ca="1">IFERROR(__xludf.DUMMYFUNCTION("IMPORTRANGE(""https://docs.google.com/spreadsheets/d/1SX6NBoVAgQJ6U1MVXOaj8PK2l7WJ3RER9xtqwdhxkhw/edit?usp=sharing"",""ราชบุรี!J420"")"),0)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IFERROR(__xludf.DUMMYFUNCTION("IMPORTRANGE(""https://docs.google.com/spreadsheets/d/1SX6NBoVAgQJ6U1MVXOaj8PK2l7WJ3RER9xtqwdhxkhw/edit?usp=sharing"",""ราชบุรี!I421"")"),0)</f>
        <v>0</v>
      </c>
      <c r="J526" s="284">
        <f ca="1">IFERROR(__xludf.DUMMYFUNCTION("IMPORTRANGE(""https://docs.google.com/spreadsheets/d/1SX6NBoVAgQJ6U1MVXOaj8PK2l7WJ3RER9xtqwdhxkhw/edit?usp=sharing"",""ราชบุรี!J421"")"),0)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IFERROR(__xludf.DUMMYFUNCTION("IMPORTRANGE(""https://docs.google.com/spreadsheets/d/1SX6NBoVAgQJ6U1MVXOaj8PK2l7WJ3RER9xtqwdhxkhw/edit?usp=sharing"",""ราชบุรี!I422"")"),0)</f>
        <v>0</v>
      </c>
      <c r="J527" s="198">
        <f ca="1">IFERROR(__xludf.DUMMYFUNCTION("IMPORTRANGE(""https://docs.google.com/spreadsheets/d/1SX6NBoVAgQJ6U1MVXOaj8PK2l7WJ3RER9xtqwdhxkhw/edit?usp=sharing"",""ราชบุรี!J422"")"),0)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IFERROR(__xludf.DUMMYFUNCTION("IMPORTRANGE(""https://docs.google.com/spreadsheets/d/1SX6NBoVAgQJ6U1MVXOaj8PK2l7WJ3RER9xtqwdhxkhw/edit?usp=sharing"",""ราชบุรี!I423"")"),0)</f>
        <v>0</v>
      </c>
      <c r="J528" s="198">
        <f ca="1">IFERROR(__xludf.DUMMYFUNCTION("IMPORTRANGE(""https://docs.google.com/spreadsheets/d/1SX6NBoVAgQJ6U1MVXOaj8PK2l7WJ3RER9xtqwdhxkhw/edit?usp=sharing"",""ราชบุรี!J423"")"),0)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IFERROR(__xludf.DUMMYFUNCTION("IMPORTRANGE(""https://docs.google.com/spreadsheets/d/1SX6NBoVAgQJ6U1MVXOaj8PK2l7WJ3RER9xtqwdhxkhw/edit?usp=sharing"",""ราชบุรี!I424"")"),0)</f>
        <v>0</v>
      </c>
      <c r="J529" s="198">
        <f ca="1">IFERROR(__xludf.DUMMYFUNCTION("IMPORTRANGE(""https://docs.google.com/spreadsheets/d/1SX6NBoVAgQJ6U1MVXOaj8PK2l7WJ3RER9xtqwdhxkhw/edit?usp=sharing"",""ราชบุรี!J424"")"),0)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IFERROR(__xludf.DUMMYFUNCTION("IMPORTRANGE(""https://docs.google.com/spreadsheets/d/1SX6NBoVAgQJ6U1MVXOaj8PK2l7WJ3RER9xtqwdhxkhw/edit?usp=sharing"",""ราชบุรี!I425"")"),0)</f>
        <v>0</v>
      </c>
      <c r="J530" s="198">
        <f ca="1">IFERROR(__xludf.DUMMYFUNCTION("IMPORTRANGE(""https://docs.google.com/spreadsheets/d/1SX6NBoVAgQJ6U1MVXOaj8PK2l7WJ3RER9xtqwdhxkhw/edit?usp=sharing"",""ราชบุรี!J425"")"),0)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IFERROR(__xludf.DUMMYFUNCTION("IMPORTRANGE(""https://docs.google.com/spreadsheets/d/1SX6NBoVAgQJ6U1MVXOaj8PK2l7WJ3RER9xtqwdhxkhw/edit?usp=sharing"",""ราชบุรี!I426"")"),0)</f>
        <v>0</v>
      </c>
      <c r="J531" s="198">
        <f ca="1">IFERROR(__xludf.DUMMYFUNCTION("IMPORTRANGE(""https://docs.google.com/spreadsheets/d/1SX6NBoVAgQJ6U1MVXOaj8PK2l7WJ3RER9xtqwdhxkhw/edit?usp=sharing"",""ราชบุรี!J426"")"),0)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IFERROR(__xludf.DUMMYFUNCTION("IMPORTRANGE(""https://docs.google.com/spreadsheets/d/1SX6NBoVAgQJ6U1MVXOaj8PK2l7WJ3RER9xtqwdhxkhw/edit?usp=sharing"",""ราชบุรี!I427"")"),0)</f>
        <v>0</v>
      </c>
      <c r="J532" s="466">
        <f ca="1">IFERROR(__xludf.DUMMYFUNCTION("IMPORTRANGE(""https://docs.google.com/spreadsheets/d/1SX6NBoVAgQJ6U1MVXOaj8PK2l7WJ3RER9xtqwdhxkhw/edit?usp=sharing"",""ราชบุรี!J427"")"),0)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IFERROR(__xludf.DUMMYFUNCTION("IMPORTRANGE(""https://docs.google.com/spreadsheets/d/1SX6NBoVAgQJ6U1MVXOaj8PK2l7WJ3RER9xtqwdhxkhw/edit?usp=sharing"",""ราชบุรี!I428"")"),22)</f>
        <v>22</v>
      </c>
      <c r="J533" s="410">
        <f ca="1">IFERROR(__xludf.DUMMYFUNCTION("IMPORTRANGE(""https://docs.google.com/spreadsheets/d/1SX6NBoVAgQJ6U1MVXOaj8PK2l7WJ3RER9xtqwdhxkhw/edit?usp=sharing"",""ราชบุรี!J428"")"),22)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IFERROR(__xludf.DUMMYFUNCTION("IMPORTRANGE(""https://docs.google.com/spreadsheets/d/1SX6NBoVAgQJ6U1MVXOaj8PK2l7WJ3RER9xtqwdhxkhw/edit?usp=sharing"",""ราชบุรี!L428"")"),34340)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IFERROR(__xludf.DUMMYFUNCTION("IMPORTRANGE(""https://docs.google.com/spreadsheets/d/1SX6NBoVAgQJ6U1MVXOaj8PK2l7WJ3RER9xtqwdhxkhw/edit?usp=sharing"",""ราชบุรี!M428"")"),22716.97)</f>
        <v>22716.97</v>
      </c>
      <c r="O533" s="412">
        <f t="shared" ref="O533:O537" ca="1" si="118">+IF(L533&gt;0,N533*100/L533,0)</f>
        <v>66.153086779266161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IFERROR(__xludf.DUMMYFUNCTION("IMPORTRANGE(""https://docs.google.com/spreadsheets/d/1SX6NBoVAgQJ6U1MVXOaj8PK2l7WJ3RER9xtqwdhxkhw/edit?usp=sharing"",""ราชบุรี!L429"")"),0)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IFERROR(__xludf.DUMMYFUNCTION("IMPORTRANGE(""https://docs.google.com/spreadsheets/d/1SX6NBoVAgQJ6U1MVXOaj8PK2l7WJ3RER9xtqwdhxkhw/edit?usp=sharing"",""ราชบุรี!M429"")"),0)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IFERROR(__xludf.DUMMYFUNCTION("IMPORTRANGE(""https://docs.google.com/spreadsheets/d/1SX6NBoVAgQJ6U1MVXOaj8PK2l7WJ3RER9xtqwdhxkhw/edit?usp=sharing"",""ราชบุรี!L430"")"),34340)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IFERROR(__xludf.DUMMYFUNCTION("IMPORTRANGE(""https://docs.google.com/spreadsheets/d/1SX6NBoVAgQJ6U1MVXOaj8PK2l7WJ3RER9xtqwdhxkhw/edit?usp=sharing"",""ราชบุรี!M430"")"),22716.97)</f>
        <v>22716.97</v>
      </c>
      <c r="O535" s="169">
        <f t="shared" ca="1" si="118"/>
        <v>66.153086779266161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IFERROR(__xludf.DUMMYFUNCTION("IMPORTRANGE(""https://docs.google.com/spreadsheets/d/1SX6NBoVAgQJ6U1MVXOaj8PK2l7WJ3RER9xtqwdhxkhw/edit?usp=sharing"",""ราชบุรี!L431"")"),0)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IFERROR(__xludf.DUMMYFUNCTION("IMPORTRANGE(""https://docs.google.com/spreadsheets/d/1SX6NBoVAgQJ6U1MVXOaj8PK2l7WJ3RER9xtqwdhxkhw/edit?usp=sharing"",""ราชบุรี!M431"")"),0)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IFERROR(__xludf.DUMMYFUNCTION("IMPORTRANGE(""https://docs.google.com/spreadsheets/d/1SX6NBoVAgQJ6U1MVXOaj8PK2l7WJ3RER9xtqwdhxkhw/edit?usp=sharing"",""ราชบุรี!L432"")"),34340)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IFERROR(__xludf.DUMMYFUNCTION("IMPORTRANGE(""https://docs.google.com/spreadsheets/d/1SX6NBoVAgQJ6U1MVXOaj8PK2l7WJ3RER9xtqwdhxkhw/edit?usp=sharing"",""ราชบุรี!M432"")"),22716.97)</f>
        <v>22716.97</v>
      </c>
      <c r="O537" s="169">
        <f t="shared" ca="1" si="118"/>
        <v>66.153086779266161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IFERROR(__xludf.DUMMYFUNCTION("IMPORTRANGE(""https://docs.google.com/spreadsheets/d/1SX6NBoVAgQJ6U1MVXOaj8PK2l7WJ3RER9xtqwdhxkhw/edit?usp=sharing"",""ราชบุรี!M433"")"),17014)</f>
        <v>17014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IFERROR(__xludf.DUMMYFUNCTION("IMPORTRANGE(""https://docs.google.com/spreadsheets/d/1SX6NBoVAgQJ6U1MVXOaj8PK2l7WJ3RER9xtqwdhxkhw/edit?usp=sharing"",""ราชบุรี!M434"")"),0)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IFERROR(__xludf.DUMMYFUNCTION("IMPORTRANGE(""https://docs.google.com/spreadsheets/d/1SX6NBoVAgQJ6U1MVXOaj8PK2l7WJ3RER9xtqwdhxkhw/edit?usp=sharing"",""ราชบุรี!M435"")"),0)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IFERROR(__xludf.DUMMYFUNCTION("IMPORTRANGE(""https://docs.google.com/spreadsheets/d/1SX6NBoVAgQJ6U1MVXOaj8PK2l7WJ3RER9xtqwdhxkhw/edit?usp=sharing"",""ราชบุรี!M436"")"),5702.97)</f>
        <v>5702.97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IFERROR(__xludf.DUMMYFUNCTION("IMPORTRANGE(""https://docs.google.com/spreadsheets/d/1SX6NBoVAgQJ6U1MVXOaj8PK2l7WJ3RER9xtqwdhxkhw/edit?usp=sharing"",""ราชบุรี!J438"")"),0)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IFERROR(__xludf.DUMMYFUNCTION("IMPORTRANGE(""https://docs.google.com/spreadsheets/d/1SX6NBoVAgQJ6U1MVXOaj8PK2l7WJ3RER9xtqwdhxkhw/edit?usp=sharing"",""ราชบุรี!J439"")"),1)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IFERROR(__xludf.DUMMYFUNCTION("IMPORTRANGE(""https://docs.google.com/spreadsheets/d/1SX6NBoVAgQJ6U1MVXOaj8PK2l7WJ3RER9xtqwdhxkhw/edit?usp=sharing"",""ราชบุรี!J440"")"),1)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IFERROR(__xludf.DUMMYFUNCTION("IMPORTRANGE(""https://docs.google.com/spreadsheets/d/1SX6NBoVAgQJ6U1MVXOaj8PK2l7WJ3RER9xtqwdhxkhw/edit?usp=sharing"",""ราชบุรี!J441"")"),1)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IFERROR(__xludf.DUMMYFUNCTION("IMPORTRANGE(""https://docs.google.com/spreadsheets/d/1SX6NBoVAgQJ6U1MVXOaj8PK2l7WJ3RER9xtqwdhxkhw/edit?usp=sharing"",""ราชบุรี!I442"")"),22)</f>
        <v>22</v>
      </c>
      <c r="J547" s="189">
        <f ca="1">IFERROR(__xludf.DUMMYFUNCTION("IMPORTRANGE(""https://docs.google.com/spreadsheets/d/1SX6NBoVAgQJ6U1MVXOaj8PK2l7WJ3RER9xtqwdhxkhw/edit?usp=sharing"",""ราชบุรี!J442"")"),22)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IFERROR(__xludf.DUMMYFUNCTION("IMPORTRANGE(""https://docs.google.com/spreadsheets/d/1SX6NBoVAgQJ6U1MVXOaj8PK2l7WJ3RER9xtqwdhxkhw/edit?usp=sharing"",""ราชบุรี!J166"")"),0)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IFERROR(__xludf.DUMMYFUNCTION("IMPORTRANGE(""https://docs.google.com/spreadsheets/d/1SX6NBoVAgQJ6U1MVXOaj8PK2l7WJ3RER9xtqwdhxkhw/edit?usp=sharing"",""ราชบุรี!J444"")"),1)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IFERROR(__xludf.DUMMYFUNCTION("IMPORTRANGE(""https://docs.google.com/spreadsheets/d/1SX6NBoVAgQJ6U1MVXOaj8PK2l7WJ3RER9xtqwdhxkhw/edit?usp=sharing"",""ราชบุรี!J445"")"),0)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IFERROR(__xludf.DUMMYFUNCTION("IMPORTRANGE(""https://docs.google.com/spreadsheets/d/1SX6NBoVAgQJ6U1MVXOaj8PK2l7WJ3RER9xtqwdhxkhw/edit?usp=sharing"",""ราชบุรี!I446"")"),0)</f>
        <v>0</v>
      </c>
      <c r="J551" s="410">
        <f ca="1">IFERROR(__xludf.DUMMYFUNCTION("IMPORTRANGE(""https://docs.google.com/spreadsheets/d/1SX6NBoVAgQJ6U1MVXOaj8PK2l7WJ3RER9xtqwdhxkhw/edit?usp=sharing"",""ราชบุรี!J446"")"),0)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IFERROR(__xludf.DUMMYFUNCTION("IMPORTRANGE(""https://docs.google.com/spreadsheets/d/1SX6NBoVAgQJ6U1MVXOaj8PK2l7WJ3RER9xtqwdhxkhw/edit?usp=sharing"",""ราชบุรี!L446"")"),0)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IFERROR(__xludf.DUMMYFUNCTION("IMPORTRANGE(""https://docs.google.com/spreadsheets/d/1SX6NBoVAgQJ6U1MVXOaj8PK2l7WJ3RER9xtqwdhxkhw/edit?usp=sharing"",""ราชบุรี!M446"")"),0)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IFERROR(__xludf.DUMMYFUNCTION("IMPORTRANGE(""https://docs.google.com/spreadsheets/d/1SX6NBoVAgQJ6U1MVXOaj8PK2l7WJ3RER9xtqwdhxkhw/edit?usp=sharing"",""ราชบุรี!L447"")"),0)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IFERROR(__xludf.DUMMYFUNCTION("IMPORTRANGE(""https://docs.google.com/spreadsheets/d/1SX6NBoVAgQJ6U1MVXOaj8PK2l7WJ3RER9xtqwdhxkhw/edit?usp=sharing"",""ราชบุรี!M447"")"),0)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IFERROR(__xludf.DUMMYFUNCTION("IMPORTRANGE(""https://docs.google.com/spreadsheets/d/1SX6NBoVAgQJ6U1MVXOaj8PK2l7WJ3RER9xtqwdhxkhw/edit?usp=sharing"",""ราชบุรี!L448"")"),0)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IFERROR(__xludf.DUMMYFUNCTION("IMPORTRANGE(""https://docs.google.com/spreadsheets/d/1SX6NBoVAgQJ6U1MVXOaj8PK2l7WJ3RER9xtqwdhxkhw/edit?usp=sharing"",""ราชบุรี!M448"")"),0)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IFERROR(__xludf.DUMMYFUNCTION("IMPORTRANGE(""https://docs.google.com/spreadsheets/d/1SX6NBoVAgQJ6U1MVXOaj8PK2l7WJ3RER9xtqwdhxkhw/edit?usp=sharing"",""ราชบุรี!L449"")"),0)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IFERROR(__xludf.DUMMYFUNCTION("IMPORTRANGE(""https://docs.google.com/spreadsheets/d/1SX6NBoVAgQJ6U1MVXOaj8PK2l7WJ3RER9xtqwdhxkhw/edit?usp=sharing"",""ราชบุรี!M449"")"),0)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IFERROR(__xludf.DUMMYFUNCTION("IMPORTRANGE(""https://docs.google.com/spreadsheets/d/1SX6NBoVAgQJ6U1MVXOaj8PK2l7WJ3RER9xtqwdhxkhw/edit?usp=sharing"",""ราชบุรี!L450"")"),0)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IFERROR(__xludf.DUMMYFUNCTION("IMPORTRANGE(""https://docs.google.com/spreadsheets/d/1SX6NBoVAgQJ6U1MVXOaj8PK2l7WJ3RER9xtqwdhxkhw/edit?usp=sharing"",""ราชบุรี!M450"")"),0)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IFERROR(__xludf.DUMMYFUNCTION("IMPORTRANGE(""https://docs.google.com/spreadsheets/d/1SX6NBoVAgQJ6U1MVXOaj8PK2l7WJ3RER9xtqwdhxkhw/edit?usp=sharing"",""ราชบุรี!M451"")"),0)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IFERROR(__xludf.DUMMYFUNCTION("IMPORTRANGE(""https://docs.google.com/spreadsheets/d/1SX6NBoVAgQJ6U1MVXOaj8PK2l7WJ3RER9xtqwdhxkhw/edit?usp=sharing"",""ราชบุรี!M452"")"),0)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IFERROR(__xludf.DUMMYFUNCTION("IMPORTRANGE(""https://docs.google.com/spreadsheets/d/1SX6NBoVAgQJ6U1MVXOaj8PK2l7WJ3RER9xtqwdhxkhw/edit?usp=sharing"",""ราชบุรี!M453"")"),0)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IFERROR(__xludf.DUMMYFUNCTION("IMPORTRANGE(""https://docs.google.com/spreadsheets/d/1SX6NBoVAgQJ6U1MVXOaj8PK2l7WJ3RER9xtqwdhxkhw/edit?usp=sharing"",""ราชบุรี!M454"")"),0)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IFERROR(__xludf.DUMMYFUNCTION("IMPORTRANGE(""https://docs.google.com/spreadsheets/d/1SX6NBoVAgQJ6U1MVXOaj8PK2l7WJ3RER9xtqwdhxkhw/edit?usp=sharing"",""ราชบุรี!I455"")"),0)</f>
        <v>0</v>
      </c>
      <c r="J560" s="162">
        <f ca="1">IFERROR(__xludf.DUMMYFUNCTION("IMPORTRANGE(""https://docs.google.com/spreadsheets/d/1SX6NBoVAgQJ6U1MVXOaj8PK2l7WJ3RER9xtqwdhxkhw/edit?usp=sharing"",""ราชบุรี!J455"")"),0)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IFERROR(__xludf.DUMMYFUNCTION("IMPORTRANGE(""https://docs.google.com/spreadsheets/d/1SX6NBoVAgQJ6U1MVXOaj8PK2l7WJ3RER9xtqwdhxkhw/edit?usp=sharing"",""ราชบุรี!I456"")"),0)</f>
        <v>0</v>
      </c>
      <c r="J561" s="204">
        <f ca="1">IFERROR(__xludf.DUMMYFUNCTION("IMPORTRANGE(""https://docs.google.com/spreadsheets/d/1SX6NBoVAgQJ6U1MVXOaj8PK2l7WJ3RER9xtqwdhxkhw/edit?usp=sharing"",""ราชบุรี!J456"")"),0)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IFERROR(__xludf.DUMMYFUNCTION("IMPORTRANGE(""https://docs.google.com/spreadsheets/d/1SX6NBoVAgQJ6U1MVXOaj8PK2l7WJ3RER9xtqwdhxkhw/edit?usp=sharing"",""ราชบุรี!I459"")"),550)</f>
        <v>550</v>
      </c>
      <c r="J564" s="371">
        <f ca="1">IFERROR(__xludf.DUMMYFUNCTION("IMPORTRANGE(""https://docs.google.com/spreadsheets/d/1SX6NBoVAgQJ6U1MVXOaj8PK2l7WJ3RER9xtqwdhxkhw/edit?usp=sharing"",""ราชบุรี!J459"")"),2370)</f>
        <v>2370</v>
      </c>
      <c r="K564" s="372">
        <f ca="1">IF(I564&gt;0,J564*100/I564,0)</f>
        <v>430.90909090909093</v>
      </c>
      <c r="L564" s="373">
        <f ca="1">IFERROR(__xludf.DUMMYFUNCTION("IMPORTRANGE(""https://docs.google.com/spreadsheets/d/1SX6NBoVAgQJ6U1MVXOaj8PK2l7WJ3RER9xtqwdhxkhw/edit?usp=sharing"",""ราชบุรี!L459"")"),126080)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IFERROR(__xludf.DUMMYFUNCTION("IMPORTRANGE(""https://docs.google.com/spreadsheets/d/1SX6NBoVAgQJ6U1MVXOaj8PK2l7WJ3RER9xtqwdhxkhw/edit?usp=sharing"",""ราชบุรี!M459"")"),79574.2)</f>
        <v>79574.2</v>
      </c>
      <c r="O564" s="373">
        <f t="shared" ref="O564:O568" ca="1" si="122">+IF(L564&gt;0,N564*100/L564,0)</f>
        <v>63.114054568527919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IFERROR(__xludf.DUMMYFUNCTION("IMPORTRANGE(""https://docs.google.com/spreadsheets/d/1SX6NBoVAgQJ6U1MVXOaj8PK2l7WJ3RER9xtqwdhxkhw/edit?usp=sharing"",""ราชบุรี!L460"")"),0)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IFERROR(__xludf.DUMMYFUNCTION("IMPORTRANGE(""https://docs.google.com/spreadsheets/d/1SX6NBoVAgQJ6U1MVXOaj8PK2l7WJ3RER9xtqwdhxkhw/edit?usp=sharing"",""ราชบุรี!M460"")"),0)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IFERROR(__xludf.DUMMYFUNCTION("IMPORTRANGE(""https://docs.google.com/spreadsheets/d/1SX6NBoVAgQJ6U1MVXOaj8PK2l7WJ3RER9xtqwdhxkhw/edit?usp=sharing"",""ราชบุรี!L461"")"),126080)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IFERROR(__xludf.DUMMYFUNCTION("IMPORTRANGE(""https://docs.google.com/spreadsheets/d/1SX6NBoVAgQJ6U1MVXOaj8PK2l7WJ3RER9xtqwdhxkhw/edit?usp=sharing"",""ราชบุรี!M461"")"),79574.2)</f>
        <v>79574.2</v>
      </c>
      <c r="O566" s="169">
        <f t="shared" ca="1" si="122"/>
        <v>63.114054568527919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IFERROR(__xludf.DUMMYFUNCTION("IMPORTRANGE(""https://docs.google.com/spreadsheets/d/1SX6NBoVAgQJ6U1MVXOaj8PK2l7WJ3RER9xtqwdhxkhw/edit?usp=sharing"",""ราชบุรี!L462"")"),0)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IFERROR(__xludf.DUMMYFUNCTION("IMPORTRANGE(""https://docs.google.com/spreadsheets/d/1SX6NBoVAgQJ6U1MVXOaj8PK2l7WJ3RER9xtqwdhxkhw/edit?usp=sharing"",""ราชบุรี!M462"")"),0)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IFERROR(__xludf.DUMMYFUNCTION("IMPORTRANGE(""https://docs.google.com/spreadsheets/d/1SX6NBoVAgQJ6U1MVXOaj8PK2l7WJ3RER9xtqwdhxkhw/edit?usp=sharing"",""ราชบุรี!L463"")"),126080)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IFERROR(__xludf.DUMMYFUNCTION("IMPORTRANGE(""https://docs.google.com/spreadsheets/d/1SX6NBoVAgQJ6U1MVXOaj8PK2l7WJ3RER9xtqwdhxkhw/edit?usp=sharing"",""ราชบุรี!M463"")"),79574.2)</f>
        <v>79574.2</v>
      </c>
      <c r="O568" s="169">
        <f t="shared" ca="1" si="122"/>
        <v>63.114054568527919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IFERROR(__xludf.DUMMYFUNCTION("IMPORTRANGE(""https://docs.google.com/spreadsheets/d/1SX6NBoVAgQJ6U1MVXOaj8PK2l7WJ3RER9xtqwdhxkhw/edit?usp=sharing"",""ราชบุรี!M464"")"),0)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IFERROR(__xludf.DUMMYFUNCTION("IMPORTRANGE(""https://docs.google.com/spreadsheets/d/1SX6NBoVAgQJ6U1MVXOaj8PK2l7WJ3RER9xtqwdhxkhw/edit?usp=sharing"",""ราชบุรี!M465"")"),0)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IFERROR(__xludf.DUMMYFUNCTION("IMPORTRANGE(""https://docs.google.com/spreadsheets/d/1SX6NBoVAgQJ6U1MVXOaj8PK2l7WJ3RER9xtqwdhxkhw/edit?usp=sharing"",""ราชบุรี!M466"")"),61983.88)</f>
        <v>61983.88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IFERROR(__xludf.DUMMYFUNCTION("IMPORTRANGE(""https://docs.google.com/spreadsheets/d/1SX6NBoVAgQJ6U1MVXOaj8PK2l7WJ3RER9xtqwdhxkhw/edit?usp=sharing"",""ราชบุรี!M467"")"),17590.32)</f>
        <v>17590.32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IFERROR(__xludf.DUMMYFUNCTION("IMPORTRANGE(""https://docs.google.com/spreadsheets/d/1SX6NBoVAgQJ6U1MVXOaj8PK2l7WJ3RER9xtqwdhxkhw/edit?usp=sharing"",""ราชบุรี!I468"")"),550)</f>
        <v>550</v>
      </c>
      <c r="J573" s="420">
        <f ca="1">IFERROR(__xludf.DUMMYFUNCTION("IMPORTRANGE(""https://docs.google.com/spreadsheets/d/1SX6NBoVAgQJ6U1MVXOaj8PK2l7WJ3RER9xtqwdhxkhw/edit?usp=sharing"",""ราชบุรี!J468"")"),2370)</f>
        <v>2370</v>
      </c>
      <c r="K573" s="202">
        <f ca="1">IF(I573&gt;0,J573*100/I573,0)</f>
        <v>430.90909090909093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IFERROR(__xludf.DUMMYFUNCTION("IMPORTRANGE(""https://docs.google.com/spreadsheets/d/1SX6NBoVAgQJ6U1MVXOaj8PK2l7WJ3RER9xtqwdhxkhw/edit?usp=sharing"",""ราชบุรี!I470"")"),0)</f>
        <v>0</v>
      </c>
      <c r="J575" s="198">
        <f ca="1">IFERROR(__xludf.DUMMYFUNCTION("IMPORTRANGE(""https://docs.google.com/spreadsheets/d/1SX6NBoVAgQJ6U1MVXOaj8PK2l7WJ3RER9xtqwdhxkhw/edit?usp=sharing"",""ราชบุรี!J470"")"),5)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IFERROR(__xludf.DUMMYFUNCTION("IMPORTRANGE(""https://docs.google.com/spreadsheets/d/1SX6NBoVAgQJ6U1MVXOaj8PK2l7WJ3RER9xtqwdhxkhw/edit?usp=sharing"",""ราชบุรี!I471"")"),0)</f>
        <v>0</v>
      </c>
      <c r="J576" s="198">
        <f ca="1">IFERROR(__xludf.DUMMYFUNCTION("IMPORTRANGE(""https://docs.google.com/spreadsheets/d/1SX6NBoVAgQJ6U1MVXOaj8PK2l7WJ3RER9xtqwdhxkhw/edit?usp=sharing"",""ราชบุรี!J471"")"),149)</f>
        <v>149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IFERROR(__xludf.DUMMYFUNCTION("IMPORTRANGE(""https://docs.google.com/spreadsheets/d/1SX6NBoVAgQJ6U1MVXOaj8PK2l7WJ3RER9xtqwdhxkhw/edit?usp=sharing"",""ราชบุรี!I472"")"),0)</f>
        <v>0</v>
      </c>
      <c r="J577" s="189">
        <f ca="1">IFERROR(__xludf.DUMMYFUNCTION("IMPORTRANGE(""https://docs.google.com/spreadsheets/d/1SX6NBoVAgQJ6U1MVXOaj8PK2l7WJ3RER9xtqwdhxkhw/edit?usp=sharing"",""ราชบุรี!J472"")"),2196)</f>
        <v>2196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IFERROR(__xludf.DUMMYFUNCTION("IMPORTRANGE(""https://docs.google.com/spreadsheets/d/1SX6NBoVAgQJ6U1MVXOaj8PK2l7WJ3RER9xtqwdhxkhw/edit?usp=sharing"",""ราชบุรี!I473"")"),0)</f>
        <v>0</v>
      </c>
      <c r="J578" s="198">
        <f ca="1">IFERROR(__xludf.DUMMYFUNCTION("IMPORTRANGE(""https://docs.google.com/spreadsheets/d/1SX6NBoVAgQJ6U1MVXOaj8PK2l7WJ3RER9xtqwdhxkhw/edit?usp=sharing"",""ราชบุรี!J473"")"),18)</f>
        <v>18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IFERROR(__xludf.DUMMYFUNCTION("IMPORTRANGE(""https://docs.google.com/spreadsheets/d/1SX6NBoVAgQJ6U1MVXOaj8PK2l7WJ3RER9xtqwdhxkhw/edit?usp=sharing"",""ราชบุรี!I474"")"),0)</f>
        <v>0</v>
      </c>
      <c r="J579" s="198">
        <f ca="1">IFERROR(__xludf.DUMMYFUNCTION("IMPORTRANGE(""https://docs.google.com/spreadsheets/d/1SX6NBoVAgQJ6U1MVXOaj8PK2l7WJ3RER9xtqwdhxkhw/edit?usp=sharing"",""ราชบุรี!J474"")"),7)</f>
        <v>7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IFERROR(__xludf.DUMMYFUNCTION("IMPORTRANGE(""https://docs.google.com/spreadsheets/d/1SX6NBoVAgQJ6U1MVXOaj8PK2l7WJ3RER9xtqwdhxkhw/edit?usp=sharing"",""ราชบุรี!I475"")"),0)</f>
        <v>0</v>
      </c>
      <c r="J580" s="371">
        <f ca="1">IFERROR(__xludf.DUMMYFUNCTION("IMPORTRANGE(""https://docs.google.com/spreadsheets/d/1SX6NBoVAgQJ6U1MVXOaj8PK2l7WJ3RER9xtqwdhxkhw/edit?usp=sharing"",""ราชบุรี!J475"")"),0)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IFERROR(__xludf.DUMMYFUNCTION("IMPORTRANGE(""https://docs.google.com/spreadsheets/d/1SX6NBoVAgQJ6U1MVXOaj8PK2l7WJ3RER9xtqwdhxkhw/edit?usp=sharing"",""ราชบุรี!L475"")"),0)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IFERROR(__xludf.DUMMYFUNCTION("IMPORTRANGE(""https://docs.google.com/spreadsheets/d/1SX6NBoVAgQJ6U1MVXOaj8PK2l7WJ3RER9xtqwdhxkhw/edit?usp=sharing"",""ราชบุรี!M475"")"),0)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IFERROR(__xludf.DUMMYFUNCTION("IMPORTRANGE(""https://docs.google.com/spreadsheets/d/1SX6NBoVAgQJ6U1MVXOaj8PK2l7WJ3RER9xtqwdhxkhw/edit?usp=sharing"",""ราชบุรี!L476"")"),0)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IFERROR(__xludf.DUMMYFUNCTION("IMPORTRANGE(""https://docs.google.com/spreadsheets/d/1SX6NBoVAgQJ6U1MVXOaj8PK2l7WJ3RER9xtqwdhxkhw/edit?usp=sharing"",""ราชบุรี!M476"")"),0)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IFERROR(__xludf.DUMMYFUNCTION("IMPORTRANGE(""https://docs.google.com/spreadsheets/d/1SX6NBoVAgQJ6U1MVXOaj8PK2l7WJ3RER9xtqwdhxkhw/edit?usp=sharing"",""ราชบุรี!L477"")"),0)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IFERROR(__xludf.DUMMYFUNCTION("IMPORTRANGE(""https://docs.google.com/spreadsheets/d/1SX6NBoVAgQJ6U1MVXOaj8PK2l7WJ3RER9xtqwdhxkhw/edit?usp=sharing"",""ราชบุรี!M477"")"),0)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IFERROR(__xludf.DUMMYFUNCTION("IMPORTRANGE(""https://docs.google.com/spreadsheets/d/1SX6NBoVAgQJ6U1MVXOaj8PK2l7WJ3RER9xtqwdhxkhw/edit?usp=sharing"",""ราชบุรี!L478"")"),0)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IFERROR(__xludf.DUMMYFUNCTION("IMPORTRANGE(""https://docs.google.com/spreadsheets/d/1SX6NBoVAgQJ6U1MVXOaj8PK2l7WJ3RER9xtqwdhxkhw/edit?usp=sharing"",""ราชบุรี!M478"")"),0)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IFERROR(__xludf.DUMMYFUNCTION("IMPORTRANGE(""https://docs.google.com/spreadsheets/d/1SX6NBoVAgQJ6U1MVXOaj8PK2l7WJ3RER9xtqwdhxkhw/edit?usp=sharing"",""ราชบุรี!L479"")"),0)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IFERROR(__xludf.DUMMYFUNCTION("IMPORTRANGE(""https://docs.google.com/spreadsheets/d/1SX6NBoVAgQJ6U1MVXOaj8PK2l7WJ3RER9xtqwdhxkhw/edit?usp=sharing"",""ราชบุรี!M479"")"),0)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IFERROR(__xludf.DUMMYFUNCTION("IMPORTRANGE(""https://docs.google.com/spreadsheets/d/1SX6NBoVAgQJ6U1MVXOaj8PK2l7WJ3RER9xtqwdhxkhw/edit?usp=sharing"",""ราชบุรี!M480"")"),0)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IFERROR(__xludf.DUMMYFUNCTION("IMPORTRANGE(""https://docs.google.com/spreadsheets/d/1SX6NBoVAgQJ6U1MVXOaj8PK2l7WJ3RER9xtqwdhxkhw/edit?usp=sharing"",""ราชบุรี!M481"")"),0)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IFERROR(__xludf.DUMMYFUNCTION("IMPORTRANGE(""https://docs.google.com/spreadsheets/d/1SX6NBoVAgQJ6U1MVXOaj8PK2l7WJ3RER9xtqwdhxkhw/edit?usp=sharing"",""ราชบุรี!M482"")"),0)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IFERROR(__xludf.DUMMYFUNCTION("IMPORTRANGE(""https://docs.google.com/spreadsheets/d/1SX6NBoVAgQJ6U1MVXOaj8PK2l7WJ3RER9xtqwdhxkhw/edit?usp=sharing"",""ราชบุรี!M483"")"),0)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IFERROR(__xludf.DUMMYFUNCTION("IMPORTRANGE(""https://docs.google.com/spreadsheets/d/1SX6NBoVAgQJ6U1MVXOaj8PK2l7WJ3RER9xtqwdhxkhw/edit?usp=sharing"",""ราชบุรี!I484"")"),0)</f>
        <v>0</v>
      </c>
      <c r="J589" s="188">
        <f ca="1">IFERROR(__xludf.DUMMYFUNCTION("IMPORTRANGE(""https://docs.google.com/spreadsheets/d/1SX6NBoVAgQJ6U1MVXOaj8PK2l7WJ3RER9xtqwdhxkhw/edit?usp=sharing"",""ราชบุรี!J484"")"),0)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IFERROR(__xludf.DUMMYFUNCTION("IMPORTRANGE(""https://docs.google.com/spreadsheets/d/1SX6NBoVAgQJ6U1MVXOaj8PK2l7WJ3RER9xtqwdhxkhw/edit?usp=sharing"",""ราชบุรี!I485"")"),0)</f>
        <v>0</v>
      </c>
      <c r="J590" s="188">
        <f ca="1">IFERROR(__xludf.DUMMYFUNCTION("IMPORTRANGE(""https://docs.google.com/spreadsheets/d/1SX6NBoVAgQJ6U1MVXOaj8PK2l7WJ3RER9xtqwdhxkhw/edit?usp=sharing"",""ราชบุรี!J485"")"),0)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IFERROR(__xludf.DUMMYFUNCTION("IMPORTRANGE(""https://docs.google.com/spreadsheets/d/1SX6NBoVAgQJ6U1MVXOaj8PK2l7WJ3RER9xtqwdhxkhw/edit?usp=sharing"",""ราชบุรี!I486"")"),0)</f>
        <v>0</v>
      </c>
      <c r="J591" s="188">
        <f ca="1">IFERROR(__xludf.DUMMYFUNCTION("IMPORTRANGE(""https://docs.google.com/spreadsheets/d/1SX6NBoVAgQJ6U1MVXOaj8PK2l7WJ3RER9xtqwdhxkhw/edit?usp=sharing"",""ราชบุรี!J486"")"),0)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IFERROR(__xludf.DUMMYFUNCTION("IMPORTRANGE(""https://docs.google.com/spreadsheets/d/1SX6NBoVAgQJ6U1MVXOaj8PK2l7WJ3RER9xtqwdhxkhw/edit?usp=sharing"",""ราชบุรี!I487"")"),0)</f>
        <v>0</v>
      </c>
      <c r="J592" s="188">
        <f ca="1">IFERROR(__xludf.DUMMYFUNCTION("IMPORTRANGE(""https://docs.google.com/spreadsheets/d/1SX6NBoVAgQJ6U1MVXOaj8PK2l7WJ3RER9xtqwdhxkhw/edit?usp=sharing"",""ราชบุรี!J487"")"),0)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IFERROR(__xludf.DUMMYFUNCTION("IMPORTRANGE(""https://docs.google.com/spreadsheets/d/1SX6NBoVAgQJ6U1MVXOaj8PK2l7WJ3RER9xtqwdhxkhw/edit?usp=sharing"",""ราชบุรี!I488"")"),0)</f>
        <v>0</v>
      </c>
      <c r="J593" s="188">
        <f ca="1">IFERROR(__xludf.DUMMYFUNCTION("IMPORTRANGE(""https://docs.google.com/spreadsheets/d/1SX6NBoVAgQJ6U1MVXOaj8PK2l7WJ3RER9xtqwdhxkhw/edit?usp=sharing"",""ราชบุรี!J488"")"),0)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IFERROR(__xludf.DUMMYFUNCTION("IMPORTRANGE(""https://docs.google.com/spreadsheets/d/1SX6NBoVAgQJ6U1MVXOaj8PK2l7WJ3RER9xtqwdhxkhw/edit?usp=sharing"",""ราชบุรี!I489"")"),0)</f>
        <v>0</v>
      </c>
      <c r="J594" s="188">
        <f ca="1">IFERROR(__xludf.DUMMYFUNCTION("IMPORTRANGE(""https://docs.google.com/spreadsheets/d/1SX6NBoVAgQJ6U1MVXOaj8PK2l7WJ3RER9xtqwdhxkhw/edit?usp=sharing"",""ราชบุรี!J489"")"),0)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IFERROR(__xludf.DUMMYFUNCTION("IMPORTRANGE(""https://docs.google.com/spreadsheets/d/1SX6NBoVAgQJ6U1MVXOaj8PK2l7WJ3RER9xtqwdhxkhw/edit?usp=sharing"",""ราชบุรี!I490"")"),0)</f>
        <v>0</v>
      </c>
      <c r="J595" s="188">
        <f ca="1">IFERROR(__xludf.DUMMYFUNCTION("IMPORTRANGE(""https://docs.google.com/spreadsheets/d/1SX6NBoVAgQJ6U1MVXOaj8PK2l7WJ3RER9xtqwdhxkhw/edit?usp=sharing"",""ราชบุรี!J490"")"),0)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IFERROR(__xludf.DUMMYFUNCTION("IMPORTRANGE(""https://docs.google.com/spreadsheets/d/1SX6NBoVAgQJ6U1MVXOaj8PK2l7WJ3RER9xtqwdhxkhw/edit?usp=sharing"",""ราชบุรี!I491"")"),0)</f>
        <v>0</v>
      </c>
      <c r="J596" s="241">
        <f ca="1">IFERROR(__xludf.DUMMYFUNCTION("IMPORTRANGE(""https://docs.google.com/spreadsheets/d/1SX6NBoVAgQJ6U1MVXOaj8PK2l7WJ3RER9xtqwdhxkhw/edit?usp=sharing"",""ราชบุรี!J491"")"),0)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IFERROR(__xludf.DUMMYFUNCTION("IMPORTRANGE(""https://docs.google.com/spreadsheets/d/1SX6NBoVAgQJ6U1MVXOaj8PK2l7WJ3RER9xtqwdhxkhw/edit?usp=sharing"",""ราชบุรี!I492"")"),50)</f>
        <v>50</v>
      </c>
      <c r="J597" s="487">
        <f ca="1">IFERROR(__xludf.DUMMYFUNCTION("IMPORTRANGE(""https://docs.google.com/spreadsheets/d/1SX6NBoVAgQJ6U1MVXOaj8PK2l7WJ3RER9xtqwdhxkhw/edit?usp=sharing"",""ราชบุรี!J492"")"),0)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IFERROR(__xludf.DUMMYFUNCTION("IMPORTRANGE(""https://docs.google.com/spreadsheets/d/1SX6NBoVAgQJ6U1MVXOaj8PK2l7WJ3RER9xtqwdhxkhw/edit?usp=sharing"",""ราชบุรี!L492"")"),5350)</f>
        <v>5350</v>
      </c>
      <c r="M597" s="412"/>
      <c r="N597" s="412">
        <f ca="1">IFERROR(__xludf.DUMMYFUNCTION("IMPORTRANGE(""https://docs.google.com/spreadsheets/d/1SX6NBoVAgQJ6U1MVXOaj8PK2l7WJ3RER9xtqwdhxkhw/edit?usp=sharing"",""ราชบุรี!M492"")"),300)</f>
        <v>300</v>
      </c>
      <c r="O597" s="412">
        <f t="shared" ref="O597:O601" ca="1" si="126">+IF(L597&gt;0,N597*100/L597,0)</f>
        <v>5.6074766355140184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IFERROR(__xludf.DUMMYFUNCTION("IMPORTRANGE(""https://docs.google.com/spreadsheets/d/1SX6NBoVAgQJ6U1MVXOaj8PK2l7WJ3RER9xtqwdhxkhw/edit?usp=sharing"",""ราชบุรี!L493"")"),0)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IFERROR(__xludf.DUMMYFUNCTION("IMPORTRANGE(""https://docs.google.com/spreadsheets/d/1SX6NBoVAgQJ6U1MVXOaj8PK2l7WJ3RER9xtqwdhxkhw/edit?usp=sharing"",""ราชบุรี!M493"")"),0)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IFERROR(__xludf.DUMMYFUNCTION("IMPORTRANGE(""https://docs.google.com/spreadsheets/d/1SX6NBoVAgQJ6U1MVXOaj8PK2l7WJ3RER9xtqwdhxkhw/edit?usp=sharing"",""ราชบุรี!L494"")"),5350)</f>
        <v>5350</v>
      </c>
      <c r="M599" s="165"/>
      <c r="N599" s="169">
        <f ca="1">IFERROR(__xludf.DUMMYFUNCTION("IMPORTRANGE(""https://docs.google.com/spreadsheets/d/1SX6NBoVAgQJ6U1MVXOaj8PK2l7WJ3RER9xtqwdhxkhw/edit?usp=sharing"",""ราชบุรี!M494"")"),300)</f>
        <v>300</v>
      </c>
      <c r="O599" s="169">
        <f t="shared" ca="1" si="126"/>
        <v>5.6074766355140184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IFERROR(__xludf.DUMMYFUNCTION("IMPORTRANGE(""https://docs.google.com/spreadsheets/d/1SX6NBoVAgQJ6U1MVXOaj8PK2l7WJ3RER9xtqwdhxkhw/edit?usp=sharing"",""ราชบุรี!L495"")"),0)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IFERROR(__xludf.DUMMYFUNCTION("IMPORTRANGE(""https://docs.google.com/spreadsheets/d/1SX6NBoVAgQJ6U1MVXOaj8PK2l7WJ3RER9xtqwdhxkhw/edit?usp=sharing"",""ราชบุรี!M495"")"),0)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IFERROR(__xludf.DUMMYFUNCTION("IMPORTRANGE(""https://docs.google.com/spreadsheets/d/1SX6NBoVAgQJ6U1MVXOaj8PK2l7WJ3RER9xtqwdhxkhw/edit?usp=sharing"",""ราชบุรี!L496"")"),5350)</f>
        <v>5350</v>
      </c>
      <c r="M601" s="169"/>
      <c r="N601" s="169">
        <f ca="1">IFERROR(__xludf.DUMMYFUNCTION("IMPORTRANGE(""https://docs.google.com/spreadsheets/d/1SX6NBoVAgQJ6U1MVXOaj8PK2l7WJ3RER9xtqwdhxkhw/edit?usp=sharing"",""ราชบุรี!M496"")"),300)</f>
        <v>300</v>
      </c>
      <c r="O601" s="169">
        <f t="shared" ca="1" si="126"/>
        <v>5.6074766355140184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IFERROR(__xludf.DUMMYFUNCTION("IMPORTRANGE(""https://docs.google.com/spreadsheets/d/1SX6NBoVAgQJ6U1MVXOaj8PK2l7WJ3RER9xtqwdhxkhw/edit?usp=sharing"",""ราชบุรี!M497"")"),0)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IFERROR(__xludf.DUMMYFUNCTION("IMPORTRANGE(""https://docs.google.com/spreadsheets/d/1SX6NBoVAgQJ6U1MVXOaj8PK2l7WJ3RER9xtqwdhxkhw/edit?usp=sharing"",""ราชบุรี!M498"")"),0)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IFERROR(__xludf.DUMMYFUNCTION("IMPORTRANGE(""https://docs.google.com/spreadsheets/d/1SX6NBoVAgQJ6U1MVXOaj8PK2l7WJ3RER9xtqwdhxkhw/edit?usp=sharing"",""ราชบุรี!M499"")"),0)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IFERROR(__xludf.DUMMYFUNCTION("IMPORTRANGE(""https://docs.google.com/spreadsheets/d/1SX6NBoVAgQJ6U1MVXOaj8PK2l7WJ3RER9xtqwdhxkhw/edit?usp=sharing"",""ราชบุรี!M500"")"),300)</f>
        <v>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IFERROR(__xludf.DUMMYFUNCTION("IMPORTRANGE(""https://docs.google.com/spreadsheets/d/1SX6NBoVAgQJ6U1MVXOaj8PK2l7WJ3RER9xtqwdhxkhw/edit?usp=sharing"",""ราชบุรี!J502"")"),0)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IFERROR(__xludf.DUMMYFUNCTION("IMPORTRANGE(""https://docs.google.com/spreadsheets/d/1SX6NBoVAgQJ6U1MVXOaj8PK2l7WJ3RER9xtqwdhxkhw/edit?usp=sharing"",""ราชบุรี!J503"")"),1)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IFERROR(__xludf.DUMMYFUNCTION("IMPORTRANGE(""https://docs.google.com/spreadsheets/d/1SX6NBoVAgQJ6U1MVXOaj8PK2l7WJ3RER9xtqwdhxkhw/edit?usp=sharing"",""ราชบุรี!J166"")"),0)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IFERROR(__xludf.DUMMYFUNCTION("IMPORTRANGE(""https://docs.google.com/spreadsheets/d/1SX6NBoVAgQJ6U1MVXOaj8PK2l7WJ3RER9xtqwdhxkhw/edit?usp=sharing"",""ราชบุรี!J166"")"),0)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IFERROR(__xludf.DUMMYFUNCTION("IMPORTRANGE(""https://docs.google.com/spreadsheets/d/1SX6NBoVAgQJ6U1MVXOaj8PK2l7WJ3RER9xtqwdhxkhw/edit?usp=sharing"",""ราชบุรี!I506"")"),50)</f>
        <v>50</v>
      </c>
      <c r="J611" s="162">
        <f ca="1">IFERROR(__xludf.DUMMYFUNCTION("IMPORTRANGE(""https://docs.google.com/spreadsheets/d/1SX6NBoVAgQJ6U1MVXOaj8PK2l7WJ3RER9xtqwdhxkhw/edit?usp=sharing"",""ราชบุรี!J506"")"),0)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IFERROR(__xludf.DUMMYFUNCTION("IMPORTRANGE(""https://docs.google.com/spreadsheets/d/1SX6NBoVAgQJ6U1MVXOaj8PK2l7WJ3RER9xtqwdhxkhw/edit?usp=sharing"",""ราชบุรี!I507"")"),0)</f>
        <v>0</v>
      </c>
      <c r="J612" s="198">
        <f ca="1">IFERROR(__xludf.DUMMYFUNCTION("IMPORTRANGE(""https://docs.google.com/spreadsheets/d/1SX6NBoVAgQJ6U1MVXOaj8PK2l7WJ3RER9xtqwdhxkhw/edit?usp=sharing"",""ราชบุรี!J507"")"),0)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IFERROR(__xludf.DUMMYFUNCTION("IMPORTRANGE(""https://docs.google.com/spreadsheets/d/1SX6NBoVAgQJ6U1MVXOaj8PK2l7WJ3RER9xtqwdhxkhw/edit?usp=sharing"",""ราชบุรี!I508"")"),0)</f>
        <v>0</v>
      </c>
      <c r="J613" s="198">
        <f ca="1">IFERROR(__xludf.DUMMYFUNCTION("IMPORTRANGE(""https://docs.google.com/spreadsheets/d/1SX6NBoVAgQJ6U1MVXOaj8PK2l7WJ3RER9xtqwdhxkhw/edit?usp=sharing"",""ราชบุรี!J508"")"),0)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IFERROR(__xludf.DUMMYFUNCTION("IMPORTRANGE(""https://docs.google.com/spreadsheets/d/1SX6NBoVAgQJ6U1MVXOaj8PK2l7WJ3RER9xtqwdhxkhw/edit?usp=sharing"",""ราชบุรี!I509"")"),0)</f>
        <v>0</v>
      </c>
      <c r="J614" s="198">
        <f ca="1">IFERROR(__xludf.DUMMYFUNCTION("IMPORTRANGE(""https://docs.google.com/spreadsheets/d/1SX6NBoVAgQJ6U1MVXOaj8PK2l7WJ3RER9xtqwdhxkhw/edit?usp=sharing"",""ราชบุรี!J509"")"),0)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IFERROR(__xludf.DUMMYFUNCTION("IMPORTRANGE(""https://docs.google.com/spreadsheets/d/1SX6NBoVAgQJ6U1MVXOaj8PK2l7WJ3RER9xtqwdhxkhw/edit?usp=sharing"",""ราชบุรี!I510"")"),0)</f>
        <v>0</v>
      </c>
      <c r="J615" s="198">
        <f ca="1">IFERROR(__xludf.DUMMYFUNCTION("IMPORTRANGE(""https://docs.google.com/spreadsheets/d/1SX6NBoVAgQJ6U1MVXOaj8PK2l7WJ3RER9xtqwdhxkhw/edit?usp=sharing"",""ราชบุรี!J510"")"),0)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IFERROR(__xludf.DUMMYFUNCTION("IMPORTRANGE(""https://docs.google.com/spreadsheets/d/1SX6NBoVAgQJ6U1MVXOaj8PK2l7WJ3RER9xtqwdhxkhw/edit?usp=sharing"",""ราชบุรี!I511"")"),0)</f>
        <v>0</v>
      </c>
      <c r="J616" s="198">
        <f ca="1">IFERROR(__xludf.DUMMYFUNCTION("IMPORTRANGE(""https://docs.google.com/spreadsheets/d/1SX6NBoVAgQJ6U1MVXOaj8PK2l7WJ3RER9xtqwdhxkhw/edit?usp=sharing"",""ราชบุรี!J511"")"),0)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IFERROR(__xludf.DUMMYFUNCTION("IMPORTRANGE(""https://docs.google.com/spreadsheets/d/1SX6NBoVAgQJ6U1MVXOaj8PK2l7WJ3RER9xtqwdhxkhw/edit?usp=sharing"",""ราชบุรี!I512"")"),0)</f>
        <v>0</v>
      </c>
      <c r="J617" s="188">
        <f ca="1">IFERROR(__xludf.DUMMYFUNCTION("IMPORTRANGE(""https://docs.google.com/spreadsheets/d/1SX6NBoVAgQJ6U1MVXOaj8PK2l7WJ3RER9xtqwdhxkhw/edit?usp=sharing"",""ราชบุรี!J512"")"),0)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IFERROR(__xludf.DUMMYFUNCTION("IMPORTRANGE(""https://docs.google.com/spreadsheets/d/1SX6NBoVAgQJ6U1MVXOaj8PK2l7WJ3RER9xtqwdhxkhw/edit?usp=sharing"",""ราชบุรี!I513"")"),0)</f>
        <v>0</v>
      </c>
      <c r="J618" s="189">
        <f ca="1">IFERROR(__xludf.DUMMYFUNCTION("IMPORTRANGE(""https://docs.google.com/spreadsheets/d/1SX6NBoVAgQJ6U1MVXOaj8PK2l7WJ3RER9xtqwdhxkhw/edit?usp=sharing"",""ราชบุรี!J513"")"),0)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IFERROR(__xludf.DUMMYFUNCTION("IMPORTRANGE(""https://docs.google.com/spreadsheets/d/1SX6NBoVAgQJ6U1MVXOaj8PK2l7WJ3RER9xtqwdhxkhw/edit?usp=sharing"",""ราชบุรี!I514"")"),0)</f>
        <v>0</v>
      </c>
      <c r="J619" s="189">
        <f ca="1">IFERROR(__xludf.DUMMYFUNCTION("IMPORTRANGE(""https://docs.google.com/spreadsheets/d/1SX6NBoVAgQJ6U1MVXOaj8PK2l7WJ3RER9xtqwdhxkhw/edit?usp=sharing"",""ราชบุรี!J514"")"),0)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IFERROR(__xludf.DUMMYFUNCTION("IMPORTRANGE(""https://docs.google.com/spreadsheets/d/1SX6NBoVAgQJ6U1MVXOaj8PK2l7WJ3RER9xtqwdhxkhw/edit?usp=sharing"",""ราชบุรี!I515"")"),0)</f>
        <v>0</v>
      </c>
      <c r="J620" s="203">
        <f ca="1">IFERROR(__xludf.DUMMYFUNCTION("IMPORTRANGE(""https://docs.google.com/spreadsheets/d/1SX6NBoVAgQJ6U1MVXOaj8PK2l7WJ3RER9xtqwdhxkhw/edit?usp=sharing"",""ราชบุรี!J515"")"),0)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IFERROR(__xludf.DUMMYFUNCTION("IMPORTRANGE(""https://docs.google.com/spreadsheets/d/1SX6NBoVAgQJ6U1MVXOaj8PK2l7WJ3RER9xtqwdhxkhw/edit?usp=sharing"",""ราชบุรี!I516"")"),0)</f>
        <v>0</v>
      </c>
      <c r="J621" s="203">
        <f ca="1">IFERROR(__xludf.DUMMYFUNCTION("IMPORTRANGE(""https://docs.google.com/spreadsheets/d/1SX6NBoVAgQJ6U1MVXOaj8PK2l7WJ3RER9xtqwdhxkhw/edit?usp=sharing"",""ราชบุรี!J516"")"),0)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IFERROR(__xludf.DUMMYFUNCTION("IMPORTRANGE(""https://docs.google.com/spreadsheets/d/1SX6NBoVAgQJ6U1MVXOaj8PK2l7WJ3RER9xtqwdhxkhw/edit?usp=sharing"",""ราชบุรี!I517"")"),0)</f>
        <v>0</v>
      </c>
      <c r="J622" s="189">
        <f ca="1">IFERROR(__xludf.DUMMYFUNCTION("IMPORTRANGE(""https://docs.google.com/spreadsheets/d/1SX6NBoVAgQJ6U1MVXOaj8PK2l7WJ3RER9xtqwdhxkhw/edit?usp=sharing"",""ราชบุรี!J517"")"),0)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IFERROR(__xludf.DUMMYFUNCTION("IMPORTRANGE(""https://docs.google.com/spreadsheets/d/1SX6NBoVAgQJ6U1MVXOaj8PK2l7WJ3RER9xtqwdhxkhw/edit?usp=sharing"",""ราชบุรี!I518"")"),0)</f>
        <v>0</v>
      </c>
      <c r="J623" s="189">
        <f ca="1">IFERROR(__xludf.DUMMYFUNCTION("IMPORTRANGE(""https://docs.google.com/spreadsheets/d/1SX6NBoVAgQJ6U1MVXOaj8PK2l7WJ3RER9xtqwdhxkhw/edit?usp=sharing"",""ราชบุรี!J518"")"),0)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IFERROR(__xludf.DUMMYFUNCTION("IMPORTRANGE(""https://docs.google.com/spreadsheets/d/1SX6NBoVAgQJ6U1MVXOaj8PK2l7WJ3RER9xtqwdhxkhw/edit?usp=sharing"",""ราชบุรี!I519"")"),0)</f>
        <v>0</v>
      </c>
      <c r="J624" s="188">
        <f ca="1">IFERROR(__xludf.DUMMYFUNCTION("IMPORTRANGE(""https://docs.google.com/spreadsheets/d/1SX6NBoVAgQJ6U1MVXOaj8PK2l7WJ3RER9xtqwdhxkhw/edit?usp=sharing"",""ราชบุรี!J519"")"),0)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IFERROR(__xludf.DUMMYFUNCTION("IMPORTRANGE(""https://docs.google.com/spreadsheets/d/1SX6NBoVAgQJ6U1MVXOaj8PK2l7WJ3RER9xtqwdhxkhw/edit?usp=sharing"",""ราชบุรี!I520"")"),0)</f>
        <v>0</v>
      </c>
      <c r="J625" s="189">
        <f ca="1">IFERROR(__xludf.DUMMYFUNCTION("IMPORTRANGE(""https://docs.google.com/spreadsheets/d/1SX6NBoVAgQJ6U1MVXOaj8PK2l7WJ3RER9xtqwdhxkhw/edit?usp=sharing"",""ราชบุรี!J520"")"),0)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IFERROR(__xludf.DUMMYFUNCTION("IMPORTRANGE(""https://docs.google.com/spreadsheets/d/1SX6NBoVAgQJ6U1MVXOaj8PK2l7WJ3RER9xtqwdhxkhw/edit?usp=sharing"",""ราชบุรี!I521"")"),0)</f>
        <v>0</v>
      </c>
      <c r="J626" s="189">
        <f ca="1">IFERROR(__xludf.DUMMYFUNCTION("IMPORTRANGE(""https://docs.google.com/spreadsheets/d/1SX6NBoVAgQJ6U1MVXOaj8PK2l7WJ3RER9xtqwdhxkhw/edit?usp=sharing"",""ราชบุรี!J521"")"),0)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IFERROR(__xludf.DUMMYFUNCTION("IMPORTRANGE(""https://docs.google.com/spreadsheets/d/1SX6NBoVAgQJ6U1MVXOaj8PK2l7WJ3RER9xtqwdhxkhw/edit?usp=sharing"",""ราชบุรี!I523"")"),1799548.1)</f>
        <v>1799548.1</v>
      </c>
      <c r="J628" s="341">
        <f ca="1">IFERROR(__xludf.DUMMYFUNCTION("IMPORTRANGE(""https://docs.google.com/spreadsheets/d/1SX6NBoVAgQJ6U1MVXOaj8PK2l7WJ3RER9xtqwdhxkhw/edit?usp=sharing"",""ราชบุรี!J523"")"),895555.38)</f>
        <v>895555.38</v>
      </c>
      <c r="K628" s="342">
        <f t="shared" ref="K628:K635" ca="1" si="129">IF(I628&gt;0,J628*100/I628,0)</f>
        <v>49.765570589638585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IFERROR(__xludf.DUMMYFUNCTION("IMPORTRANGE(""https://docs.google.com/spreadsheets/d/1SX6NBoVAgQJ6U1MVXOaj8PK2l7WJ3RER9xtqwdhxkhw/edit?usp=sharing"",""ราชบุรี!I524"")"),117)</f>
        <v>117</v>
      </c>
      <c r="J629" s="341">
        <f ca="1">IFERROR(__xludf.DUMMYFUNCTION("IMPORTRANGE(""https://docs.google.com/spreadsheets/d/1SX6NBoVAgQJ6U1MVXOaj8PK2l7WJ3RER9xtqwdhxkhw/edit?usp=sharing"",""ราชบุรี!J524"")"),64)</f>
        <v>64</v>
      </c>
      <c r="K629" s="342">
        <f t="shared" ca="1" si="129"/>
        <v>54.700854700854698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IFERROR(__xludf.DUMMYFUNCTION("IMPORTRANGE(""https://docs.google.com/spreadsheets/d/1SX6NBoVAgQJ6U1MVXOaj8PK2l7WJ3RER9xtqwdhxkhw/edit?usp=sharing"",""ราชบุรี!I525"")"),4148676.3)</f>
        <v>4148676.3</v>
      </c>
      <c r="J630" s="341">
        <f ca="1">IFERROR(__xludf.DUMMYFUNCTION("IMPORTRANGE(""https://docs.google.com/spreadsheets/d/1SX6NBoVAgQJ6U1MVXOaj8PK2l7WJ3RER9xtqwdhxkhw/edit?usp=sharing"",""ราชบุรี!J525"")"),636020.1)</f>
        <v>636020.1</v>
      </c>
      <c r="K630" s="342">
        <f t="shared" ca="1" si="129"/>
        <v>15.330675473523929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IFERROR(__xludf.DUMMYFUNCTION("IMPORTRANGE(""https://docs.google.com/spreadsheets/d/1SX6NBoVAgQJ6U1MVXOaj8PK2l7WJ3RER9xtqwdhxkhw/edit?usp=sharing"",""ราชบุรี!I526"")"),203)</f>
        <v>203</v>
      </c>
      <c r="J631" s="341">
        <f ca="1">IFERROR(__xludf.DUMMYFUNCTION("IMPORTRANGE(""https://docs.google.com/spreadsheets/d/1SX6NBoVAgQJ6U1MVXOaj8PK2l7WJ3RER9xtqwdhxkhw/edit?usp=sharing"",""ราชบุรี!J526"")"),117)</f>
        <v>117</v>
      </c>
      <c r="K631" s="342">
        <f t="shared" ca="1" si="129"/>
        <v>57.635467980295566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IFERROR(__xludf.DUMMYFUNCTION("IMPORTRANGE(""https://docs.google.com/spreadsheets/d/1SX6NBoVAgQJ6U1MVXOaj8PK2l7WJ3RER9xtqwdhxkhw/edit?usp=sharing"",""ราชบุรี!I527"")"),130782.22)</f>
        <v>130782.22</v>
      </c>
      <c r="J632" s="341">
        <f ca="1">IFERROR(__xludf.DUMMYFUNCTION("IMPORTRANGE(""https://docs.google.com/spreadsheets/d/1SX6NBoVAgQJ6U1MVXOaj8PK2l7WJ3RER9xtqwdhxkhw/edit?usp=sharing"",""ราชบุรี!J527"")"),54871.57)</f>
        <v>54871.57</v>
      </c>
      <c r="K632" s="342">
        <f t="shared" ca="1" si="129"/>
        <v>41.95644484395509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IFERROR(__xludf.DUMMYFUNCTION("IMPORTRANGE(""https://docs.google.com/spreadsheets/d/1SX6NBoVAgQJ6U1MVXOaj8PK2l7WJ3RER9xtqwdhxkhw/edit?usp=sharing"",""ราชบุรี!I528"")"),15)</f>
        <v>15</v>
      </c>
      <c r="J633" s="341">
        <f ca="1">IFERROR(__xludf.DUMMYFUNCTION("IMPORTRANGE(""https://docs.google.com/spreadsheets/d/1SX6NBoVAgQJ6U1MVXOaj8PK2l7WJ3RER9xtqwdhxkhw/edit?usp=sharing"",""ราชบุรี!J528"")"),8)</f>
        <v>8</v>
      </c>
      <c r="K633" s="342">
        <f t="shared" ca="1" si="129"/>
        <v>53.333333333333336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IFERROR(__xludf.DUMMYFUNCTION("IMPORTRANGE(""https://docs.google.com/spreadsheets/d/1SX6NBoVAgQJ6U1MVXOaj8PK2l7WJ3RER9xtqwdhxkhw/edit?usp=sharing"",""ราชบุรี!I529"")"),2000000)</f>
        <v>2000000</v>
      </c>
      <c r="J634" s="341">
        <f ca="1">IFERROR(__xludf.DUMMYFUNCTION("IMPORTRANGE(""https://docs.google.com/spreadsheets/d/1SX6NBoVAgQJ6U1MVXOaj8PK2l7WJ3RER9xtqwdhxkhw/edit?usp=sharing"",""ราชบุรี!J529"")"),960000)</f>
        <v>960000</v>
      </c>
      <c r="K634" s="342">
        <f t="shared" ca="1" si="129"/>
        <v>48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IFERROR(__xludf.DUMMYFUNCTION("IMPORTRANGE(""https://docs.google.com/spreadsheets/d/1SX6NBoVAgQJ6U1MVXOaj8PK2l7WJ3RER9xtqwdhxkhw/edit?usp=sharing"",""ราชบุรี!I530"")"),76)</f>
        <v>76</v>
      </c>
      <c r="J635" s="504">
        <f ca="1">IFERROR(__xludf.DUMMYFUNCTION("IMPORTRANGE(""https://docs.google.com/spreadsheets/d/1SX6NBoVAgQJ6U1MVXOaj8PK2l7WJ3RER9xtqwdhxkhw/edit?usp=sharing"",""ราชบุรี!J530"")"),32)</f>
        <v>32</v>
      </c>
      <c r="K635" s="486">
        <f t="shared" ca="1" si="129"/>
        <v>42.10526315789474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2" width="19.36328125" bestFit="1" customWidth="1"/>
    <col min="13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268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12180466</v>
      </c>
      <c r="M8" s="23">
        <f t="shared" ca="1" si="0"/>
        <v>8717690</v>
      </c>
      <c r="N8" s="23">
        <f t="shared" ca="1" si="0"/>
        <v>7475700.29</v>
      </c>
      <c r="O8" s="22">
        <f t="shared" ref="O8:O16" ca="1" si="1">IF(L8&gt;0,N8*100/L8,0)</f>
        <v>61.374501517429628</v>
      </c>
      <c r="P8" s="22">
        <f t="shared" ref="P8:P16" ca="1" si="2">IF(M8&gt;0,N8*100/M8,0)</f>
        <v>85.753224650107995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12180466</v>
      </c>
      <c r="M10" s="30">
        <f t="shared" ca="1" si="4"/>
        <v>8717690</v>
      </c>
      <c r="N10" s="30">
        <f t="shared" ca="1" si="4"/>
        <v>7475700.29</v>
      </c>
      <c r="O10" s="29">
        <f t="shared" ca="1" si="1"/>
        <v>61.374501517429628</v>
      </c>
      <c r="P10" s="29">
        <f t="shared" ca="1" si="2"/>
        <v>85.753224650107995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7180466</v>
      </c>
      <c r="M12" s="38">
        <f t="shared" ca="1" si="6"/>
        <v>3717690</v>
      </c>
      <c r="N12" s="38">
        <f t="shared" ca="1" si="6"/>
        <v>3275700.29</v>
      </c>
      <c r="O12" s="38">
        <f t="shared" ca="1" si="1"/>
        <v>45.619605886303198</v>
      </c>
      <c r="P12" s="38">
        <f t="shared" ca="1" si="2"/>
        <v>88.111173605114999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2348700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4831766</v>
      </c>
      <c r="M14" s="38">
        <f t="shared" si="8"/>
        <v>0</v>
      </c>
      <c r="N14" s="38">
        <f t="shared" ca="1" si="8"/>
        <v>731706.15</v>
      </c>
      <c r="O14" s="38">
        <f t="shared" ca="1" si="1"/>
        <v>15.143658653999386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5000000</v>
      </c>
      <c r="M16" s="38">
        <f t="shared" ca="1" si="10"/>
        <v>5000000</v>
      </c>
      <c r="N16" s="38">
        <f t="shared" ca="1" si="10"/>
        <v>4200000</v>
      </c>
      <c r="O16" s="49">
        <f t="shared" ca="1" si="1"/>
        <v>84</v>
      </c>
      <c r="P16" s="49">
        <f t="shared" ca="1" si="2"/>
        <v>84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9625065</v>
      </c>
      <c r="M18" s="23">
        <f t="shared" ca="1" si="11"/>
        <v>8717690</v>
      </c>
      <c r="N18" s="23">
        <f t="shared" ca="1" si="11"/>
        <v>6743994.1400000006</v>
      </c>
      <c r="O18" s="22">
        <f t="shared" ref="O18:O20" ca="1" si="12">IF(L18&gt;0,N18*100/L18,0)</f>
        <v>70.066998404686103</v>
      </c>
      <c r="P18" s="22">
        <f t="shared" ref="P18:P26" ca="1" si="13">IF(M18&gt;0,N18*100/M18,0)</f>
        <v>77.359875609249698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9625065</v>
      </c>
      <c r="M20" s="30">
        <f t="shared" ca="1" si="15"/>
        <v>8717690</v>
      </c>
      <c r="N20" s="30">
        <f t="shared" ca="1" si="15"/>
        <v>6743994.1400000006</v>
      </c>
      <c r="O20" s="29">
        <f t="shared" ca="1" si="12"/>
        <v>70.066998404686103</v>
      </c>
      <c r="P20" s="29">
        <f t="shared" ca="1" si="13"/>
        <v>77.359875609249698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4625065</v>
      </c>
      <c r="M22" s="41">
        <f t="shared" ca="1" si="18"/>
        <v>3717690</v>
      </c>
      <c r="N22" s="38">
        <f t="shared" ca="1" si="18"/>
        <v>2543994.14</v>
      </c>
      <c r="O22" s="38">
        <f t="shared" ca="1" si="17"/>
        <v>55.00450566640685</v>
      </c>
      <c r="P22" s="38">
        <f t="shared" ca="1" si="13"/>
        <v>68.429431717007063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2348700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2276365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5000000</v>
      </c>
      <c r="M26" s="49">
        <f t="shared" ca="1" si="22"/>
        <v>5000000</v>
      </c>
      <c r="N26" s="49">
        <f t="shared" ca="1" si="22"/>
        <v>4200000</v>
      </c>
      <c r="O26" s="49">
        <f t="shared" ca="1" si="17"/>
        <v>84</v>
      </c>
      <c r="P26" s="49">
        <f t="shared" ca="1" si="13"/>
        <v>84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2555401</v>
      </c>
      <c r="M28" s="23">
        <f t="shared" si="23"/>
        <v>0</v>
      </c>
      <c r="N28" s="23">
        <f t="shared" ca="1" si="23"/>
        <v>731706.15</v>
      </c>
      <c r="O28" s="22">
        <f t="shared" ref="O28:O30" ca="1" si="24">IF(L28&gt;0,N28*100/L28,0)</f>
        <v>28.633711499682438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2555401</v>
      </c>
      <c r="M30" s="30">
        <f t="shared" si="27"/>
        <v>0</v>
      </c>
      <c r="N30" s="30">
        <f t="shared" ca="1" si="27"/>
        <v>731706.15</v>
      </c>
      <c r="O30" s="29">
        <f t="shared" ca="1" si="24"/>
        <v>28.633711499682438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2555401</v>
      </c>
      <c r="M32" s="38">
        <f t="shared" si="30"/>
        <v>0</v>
      </c>
      <c r="N32" s="38">
        <f t="shared" ca="1" si="30"/>
        <v>731706.15</v>
      </c>
      <c r="O32" s="38">
        <f t="shared" ca="1" si="29"/>
        <v>28.633711499682438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2555401</v>
      </c>
      <c r="M34" s="38">
        <f t="shared" si="32"/>
        <v>0</v>
      </c>
      <c r="N34" s="38">
        <f t="shared" ca="1" si="32"/>
        <v>731706.15</v>
      </c>
      <c r="O34" s="38">
        <f t="shared" ca="1" si="29"/>
        <v>28.633711499682438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9625065</v>
      </c>
      <c r="M37" s="54">
        <f t="shared" ca="1" si="33"/>
        <v>8717690</v>
      </c>
      <c r="N37" s="54">
        <f t="shared" ca="1" si="33"/>
        <v>6743994.1399999997</v>
      </c>
      <c r="O37" s="55">
        <f t="shared" ca="1" si="29"/>
        <v>70.066998404686103</v>
      </c>
      <c r="P37" s="55">
        <f t="shared" ca="1" si="25"/>
        <v>77.359875609249698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804100</v>
      </c>
      <c r="M41" s="78">
        <f t="shared" ca="1" si="34"/>
        <v>603100</v>
      </c>
      <c r="N41" s="78">
        <f t="shared" ca="1" si="34"/>
        <v>397132.14</v>
      </c>
      <c r="O41" s="77">
        <f t="shared" ref="O41:O43" ca="1" si="35">IF(L41&gt;0,N41*100/L41,0)</f>
        <v>49.388401940057207</v>
      </c>
      <c r="P41" s="77">
        <f t="shared" ref="P41:P43" ca="1" si="36">IF(M41&gt;0,N41*100/M41,0)</f>
        <v>65.848472890067981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804100</v>
      </c>
      <c r="M43" s="78">
        <f t="shared" ca="1" si="38"/>
        <v>603100</v>
      </c>
      <c r="N43" s="78">
        <f t="shared" ca="1" si="38"/>
        <v>397132.14</v>
      </c>
      <c r="O43" s="77">
        <f t="shared" ca="1" si="35"/>
        <v>49.388401940057207</v>
      </c>
      <c r="P43" s="77">
        <f t="shared" ca="1" si="36"/>
        <v>65.848472890067981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804100</v>
      </c>
      <c r="M45" s="49">
        <f ca="1">IFERROR(__xludf.DUMMYFUNCTION("IMPORTRANGE(""https://docs.google.com/spreadsheets/d/1Yj_ptqi66GCucihVvJfMjLAmec39IyEx_6qawtMGysU/edit?usp=sharing"",""สบก!Q74"")"),603100)</f>
        <v>603100</v>
      </c>
      <c r="N45" s="49">
        <f ca="1">IFERROR(__xludf.DUMMYFUNCTION("IMPORTRANGE(""https://docs.google.com/spreadsheets/d/1Yj_ptqi66GCucihVvJfMjLAmec39IyEx_6qawtMGysU/edit?usp=sharing"",""สบก!R74"")"),397132.14)</f>
        <v>397132.14</v>
      </c>
      <c r="O45" s="38">
        <f ca="1">IF(L45&gt;0,N45*100/L45,0)</f>
        <v>49.388401940057207</v>
      </c>
      <c r="P45" s="38">
        <f ca="1">IF(M45&gt;0,N45*100/M45,0)</f>
        <v>65.848472890067981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IFERROR(__xludf.DUMMYFUNCTION("IMPORTRANGE(""https://docs.google.com/spreadsheets/d/1Yj_ptqi66GCucihVvJfMjLAmec39IyEx_6qawtMGysU/edit?usp=sharing"",""สบก!M74"")"),804100)</f>
        <v>804100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IFERROR(__xludf.DUMMYFUNCTION("IMPORTRANGE(""https://docs.google.com/spreadsheets/d/1Yj_ptqi66GCucihVvJfMjLAmec39IyEx_6qawtMGysU/edit?usp=sharing"",""สบก!N74"")"),0)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IFERROR(__xludf.DUMMYFUNCTION("IMPORTRANGE(""https://docs.google.com/spreadsheets/d/1Yj_ptqi66GCucihVvJfMjLAmec39IyEx_6qawtMGysU/edit?usp=sharing"",""สบก!O74"")"),0)</f>
        <v>0</v>
      </c>
      <c r="M49" s="49"/>
      <c r="N49" s="49">
        <f ca="1">IFERROR(__xludf.DUMMYFUNCTION("IMPORTRANGE(""https://docs.google.com/spreadsheets/d/1Yj_ptqi66GCucihVvJfMjLAmec39IyEx_6qawtMGysU/edit?usp=sharing"",""สบก!S74"")"),0)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605000</v>
      </c>
      <c r="M53" s="121">
        <f t="shared" ca="1" si="39"/>
        <v>468020</v>
      </c>
      <c r="N53" s="121">
        <f t="shared" ca="1" si="39"/>
        <v>360032</v>
      </c>
      <c r="O53" s="120">
        <f t="shared" ref="O53:O55" ca="1" si="40">IF(L53&gt;0,N53*100/L53,0)</f>
        <v>59.509421487603305</v>
      </c>
      <c r="P53" s="120">
        <f t="shared" ref="P53:P55" ca="1" si="41">IF(M53&gt;0,N53*100/M53,0)</f>
        <v>76.926627067219343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605000</v>
      </c>
      <c r="M55" s="121">
        <f t="shared" ca="1" si="43"/>
        <v>468020</v>
      </c>
      <c r="N55" s="121">
        <f t="shared" ca="1" si="43"/>
        <v>360032</v>
      </c>
      <c r="O55" s="120">
        <f t="shared" ca="1" si="40"/>
        <v>59.509421487603305</v>
      </c>
      <c r="P55" s="120">
        <f t="shared" ca="1" si="41"/>
        <v>76.926627067219343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605000</v>
      </c>
      <c r="M57" s="49">
        <f ca="1">IFERROR(__xludf.DUMMYFUNCTION("IMPORTRANGE(""https://docs.google.com/spreadsheets/d/1Yj_ptqi66GCucihVvJfMjLAmec39IyEx_6qawtMGysU/edit?usp=sharing"",""สบก!Z74"")"),468020)</f>
        <v>468020</v>
      </c>
      <c r="N57" s="49">
        <f ca="1">IFERROR(__xludf.DUMMYFUNCTION("IMPORTRANGE(""https://docs.google.com/spreadsheets/d/1Yj_ptqi66GCucihVvJfMjLAmec39IyEx_6qawtMGysU/edit?usp=sharing"",""สบก!AA74"")"),360032)</f>
        <v>360032</v>
      </c>
      <c r="O57" s="38">
        <f ca="1">IF(L57&gt;0,N57*100/L57,0)</f>
        <v>59.509421487603305</v>
      </c>
      <c r="P57" s="38">
        <f ca="1">IF(M57&gt;0,N57*100/M57,0)</f>
        <v>76.926627067219343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IFERROR(__xludf.DUMMYFUNCTION("IMPORTRANGE(""https://docs.google.com/spreadsheets/d/1Yj_ptqi66GCucihVvJfMjLAmec39IyEx_6qawtMGysU/edit?usp=sharing"",""สบก!V74"")"),605000)</f>
        <v>605000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IFERROR(__xludf.DUMMYFUNCTION("IMPORTRANGE(""https://docs.google.com/spreadsheets/d/1Yj_ptqi66GCucihVvJfMjLAmec39IyEx_6qawtMGysU/edit?usp=sharing"",""สบก!W74"")"),0)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IFERROR(__xludf.DUMMYFUNCTION("IMPORTRANGE(""https://docs.google.com/spreadsheets/d/1Yj_ptqi66GCucihVvJfMjLAmec39IyEx_6qawtMGysU/edit?usp=sharing"",""สบก!X74"")"),0)</f>
        <v>0</v>
      </c>
      <c r="M61" s="49"/>
      <c r="N61" s="49">
        <f ca="1">IFERROR(__xludf.DUMMYFUNCTION("IMPORTRANGE(""https://docs.google.com/spreadsheets/d/1Yj_ptqi66GCucihVvJfMjLAmec39IyEx_6qawtMGysU/edit?usp=sharing"",""สบก!AB74"")"),0)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IFERROR(__xludf.DUMMYFUNCTION("IMPORTRANGE(""https://docs.google.com/spreadsheets/d/1SX6NBoVAgQJ6U1MVXOaj8PK2l7WJ3RER9xtqwdhxkhw/edit?usp=sharing"",""ลพบุรี!I9"")"),2)</f>
        <v>2</v>
      </c>
      <c r="J64" s="142">
        <f ca="1">IFERROR(__xludf.DUMMYFUNCTION("IMPORTRANGE(""https://docs.google.com/spreadsheets/d/1SX6NBoVAgQJ6U1MVXOaj8PK2l7WJ3RER9xtqwdhxkhw/edit?usp=sharing"",""ลพบุรี!J9"")"),2)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IFERROR(__xludf.DUMMYFUNCTION("IMPORTRANGE(""https://docs.google.com/spreadsheets/d/1SX6NBoVAgQJ6U1MVXOaj8PK2l7WJ3RER9xtqwdhxkhw/edit?usp=sharing"",""ลพบุรี!I10"")"),180)</f>
        <v>180</v>
      </c>
      <c r="J65" s="142">
        <f ca="1">IFERROR(__xludf.DUMMYFUNCTION("IMPORTRANGE(""https://docs.google.com/spreadsheets/d/1SX6NBoVAgQJ6U1MVXOaj8PK2l7WJ3RER9xtqwdhxkhw/edit?usp=sharing"",""ลพบุรี!J10"")"),180)</f>
        <v>180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6817200</v>
      </c>
      <c r="M66" s="152">
        <f t="shared" ca="1" si="45"/>
        <v>6591900</v>
      </c>
      <c r="N66" s="152">
        <f t="shared" ca="1" si="45"/>
        <v>5384264</v>
      </c>
      <c r="O66" s="151">
        <f t="shared" ref="O66:O68" ca="1" si="46">IF(L66&gt;0,N66*100/L66,0)</f>
        <v>78.980578536642611</v>
      </c>
      <c r="P66" s="151">
        <f t="shared" ref="P66:P68" ca="1" si="47">IF(M66&gt;0,N66*100/M66,0)</f>
        <v>81.680001213610637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6817200</v>
      </c>
      <c r="M68" s="157">
        <f t="shared" ca="1" si="49"/>
        <v>6591900</v>
      </c>
      <c r="N68" s="157">
        <f t="shared" ca="1" si="49"/>
        <v>5384264</v>
      </c>
      <c r="O68" s="156">
        <f t="shared" ca="1" si="46"/>
        <v>78.980578536642611</v>
      </c>
      <c r="P68" s="156">
        <f t="shared" ca="1" si="47"/>
        <v>81.680001213610637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1817200</v>
      </c>
      <c r="M70" s="168">
        <f ca="1">IFERROR(__xludf.DUMMYFUNCTION("IMPORTRANGE(""https://docs.google.com/spreadsheets/d/1Yj_ptqi66GCucihVvJfMjLAmec39IyEx_6qawtMGysU/edit?usp=sharing"",""สบก!AI74"")"),1591900)</f>
        <v>1591900</v>
      </c>
      <c r="N70" s="169">
        <f ca="1">IFERROR(__xludf.DUMMYFUNCTION("IMPORTRANGE(""https://docs.google.com/spreadsheets/d/1Yj_ptqi66GCucihVvJfMjLAmec39IyEx_6qawtMGysU/edit?usp=sharing"",""สบก!AJ74"")"),1184264)</f>
        <v>1184264</v>
      </c>
      <c r="O70" s="169">
        <f ca="1">IF(L70&gt;0,N70*100/L70,0)</f>
        <v>65.169711644287915</v>
      </c>
      <c r="P70" s="169">
        <f ca="1">IF(M70&gt;0,N70*100/M70,0)</f>
        <v>74.393115145423707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IFERROR(__xludf.DUMMYFUNCTION("IMPORTRANGE(""https://docs.google.com/spreadsheets/d/1Yj_ptqi66GCucihVvJfMjLAmec39IyEx_6qawtMGysU/edit?usp=sharing"",""สบก!AE74"")"),439200)</f>
        <v>439200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IFERROR(__xludf.DUMMYFUNCTION("IMPORTRANGE(""https://docs.google.com/spreadsheets/d/1Yj_ptqi66GCucihVvJfMjLAmec39IyEx_6qawtMGysU/edit?usp=sharing"",""สบก!AF74"")"),1378000)</f>
        <v>1378000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IFERROR(__xludf.DUMMYFUNCTION("IMPORTRANGE(""https://docs.google.com/spreadsheets/d/1Yj_ptqi66GCucihVvJfMjLAmec39IyEx_6qawtMGysU/edit?usp=sharing"",""สบก!AG74"")"),5000000)</f>
        <v>5000000</v>
      </c>
      <c r="M74" s="49">
        <f ca="1">L74</f>
        <v>5000000</v>
      </c>
      <c r="N74" s="49">
        <f ca="1">IFERROR(__xludf.DUMMYFUNCTION("IMPORTRANGE(""https://docs.google.com/spreadsheets/d/1Yj_ptqi66GCucihVvJfMjLAmec39IyEx_6qawtMGysU/edit?usp=sharing"",""สบก!AK74"")"),4200000)</f>
        <v>4200000</v>
      </c>
      <c r="O74" s="49">
        <f ca="1">IF(L74&gt;0,N74*100/L74,0)</f>
        <v>84</v>
      </c>
      <c r="P74" s="49">
        <f ca="1">IF(M74&gt;0,N74*100/M74,0)</f>
        <v>84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IFERROR(__xludf.DUMMYFUNCTION("IMPORTRANGE(""https://docs.google.com/spreadsheets/d/1SX6NBoVAgQJ6U1MVXOaj8PK2l7WJ3RER9xtqwdhxkhw/edit?usp=sharing"",""ลพบุรี!J16"")"),0)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IFERROR(__xludf.DUMMYFUNCTION("IMPORTRANGE(""https://docs.google.com/spreadsheets/d/1SX6NBoVAgQJ6U1MVXOaj8PK2l7WJ3RER9xtqwdhxkhw/edit?usp=sharing"",""ลพบุรี!J17"")"),1)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IFERROR(__xludf.DUMMYFUNCTION("IMPORTRANGE(""https://docs.google.com/spreadsheets/d/1SX6NBoVAgQJ6U1MVXOaj8PK2l7WJ3RER9xtqwdhxkhw/edit?usp=sharing"",""ลพบุรี!J18"")"),1)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IFERROR(__xludf.DUMMYFUNCTION("IMPORTRANGE(""https://docs.google.com/spreadsheets/d/1SX6NBoVAgQJ6U1MVXOaj8PK2l7WJ3RER9xtqwdhxkhw/edit?usp=sharing"",""ลพบุรี!J19"")"),1)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IFERROR(__xludf.DUMMYFUNCTION("IMPORTRANGE(""https://docs.google.com/spreadsheets/d/1SX6NBoVAgQJ6U1MVXOaj8PK2l7WJ3RER9xtqwdhxkhw/edit?usp=sharing"",""ลพบุรี!I20"")"),2)</f>
        <v>2</v>
      </c>
      <c r="J80" s="201">
        <f ca="1">IFERROR(__xludf.DUMMYFUNCTION("IMPORTRANGE(""https://docs.google.com/spreadsheets/d/1SX6NBoVAgQJ6U1MVXOaj8PK2l7WJ3RER9xtqwdhxkhw/edit?usp=sharing"",""ลพบุรี!J20"")"),2)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IFERROR(__xludf.DUMMYFUNCTION("IMPORTRANGE(""https://docs.google.com/spreadsheets/d/1SX6NBoVAgQJ6U1MVXOaj8PK2l7WJ3RER9xtqwdhxkhw/edit?usp=sharing"",""ลพบุรี!I21"")"),180)</f>
        <v>180</v>
      </c>
      <c r="J81" s="201">
        <f ca="1">IFERROR(__xludf.DUMMYFUNCTION("IMPORTRANGE(""https://docs.google.com/spreadsheets/d/1SX6NBoVAgQJ6U1MVXOaj8PK2l7WJ3RER9xtqwdhxkhw/edit?usp=sharing"",""ลพบุรี!J21"")"),180)</f>
        <v>180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IFERROR(__xludf.DUMMYFUNCTION("IMPORTRANGE(""https://docs.google.com/spreadsheets/d/1SX6NBoVAgQJ6U1MVXOaj8PK2l7WJ3RER9xtqwdhxkhw/edit?usp=sharing"",""ลพบุรี!I22"")"),1)</f>
        <v>1</v>
      </c>
      <c r="J82" s="204">
        <f ca="1">IFERROR(__xludf.DUMMYFUNCTION("IMPORTRANGE(""https://docs.google.com/spreadsheets/d/1SX6NBoVAgQJ6U1MVXOaj8PK2l7WJ3RER9xtqwdhxkhw/edit?usp=sharing"",""ลพบุรี!J22"")"),1)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IFERROR(__xludf.DUMMYFUNCTION("IMPORTRANGE(""https://docs.google.com/spreadsheets/d/1SX6NBoVAgQJ6U1MVXOaj8PK2l7WJ3RER9xtqwdhxkhw/edit?usp=sharing"",""ลพบุรี!I23"")"),80)</f>
        <v>80</v>
      </c>
      <c r="J83" s="204">
        <f ca="1">IFERROR(__xludf.DUMMYFUNCTION("IMPORTRANGE(""https://docs.google.com/spreadsheets/d/1SX6NBoVAgQJ6U1MVXOaj8PK2l7WJ3RER9xtqwdhxkhw/edit?usp=sharing"",""ลพบุรี!J23"")"),80)</f>
        <v>80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IFERROR(__xludf.DUMMYFUNCTION("IMPORTRANGE(""https://docs.google.com/spreadsheets/d/1SX6NBoVAgQJ6U1MVXOaj8PK2l7WJ3RER9xtqwdhxkhw/edit?usp=sharing"",""ลพบุรี!I24"")"),1)</f>
        <v>1</v>
      </c>
      <c r="J84" s="189">
        <f ca="1">IFERROR(__xludf.DUMMYFUNCTION("IMPORTRANGE(""https://docs.google.com/spreadsheets/d/1SX6NBoVAgQJ6U1MVXOaj8PK2l7WJ3RER9xtqwdhxkhw/edit?usp=sharing"",""ลพบุรี!J24"")"),1)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IFERROR(__xludf.DUMMYFUNCTION("IMPORTRANGE(""https://docs.google.com/spreadsheets/d/1SX6NBoVAgQJ6U1MVXOaj8PK2l7WJ3RER9xtqwdhxkhw/edit?usp=sharing"",""ลพบุรี!I25"")"),100)</f>
        <v>100</v>
      </c>
      <c r="J85" s="189">
        <f ca="1">IFERROR(__xludf.DUMMYFUNCTION("IMPORTRANGE(""https://docs.google.com/spreadsheets/d/1SX6NBoVAgQJ6U1MVXOaj8PK2l7WJ3RER9xtqwdhxkhw/edit?usp=sharing"",""ลพบุรี!J25"")"),100)</f>
        <v>100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IFERROR(__xludf.DUMMYFUNCTION("IMPORTRANGE(""https://docs.google.com/spreadsheets/d/1SX6NBoVAgQJ6U1MVXOaj8PK2l7WJ3RER9xtqwdhxkhw/edit?usp=sharing"",""ลพบุรี!I26"")"),0)</f>
        <v>0</v>
      </c>
      <c r="J86" s="204">
        <f ca="1">IFERROR(__xludf.DUMMYFUNCTION("IMPORTRANGE(""https://docs.google.com/spreadsheets/d/1SX6NBoVAgQJ6U1MVXOaj8PK2l7WJ3RER9xtqwdhxkhw/edit?usp=sharing"",""ลพบุรี!J26"")"),0)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IFERROR(__xludf.DUMMYFUNCTION("IMPORTRANGE(""https://docs.google.com/spreadsheets/d/1SX6NBoVAgQJ6U1MVXOaj8PK2l7WJ3RER9xtqwdhxkhw/edit?usp=sharing"",""ลพบุรี!I27"")"),0)</f>
        <v>0</v>
      </c>
      <c r="J87" s="204">
        <f ca="1">IFERROR(__xludf.DUMMYFUNCTION("IMPORTRANGE(""https://docs.google.com/spreadsheets/d/1SX6NBoVAgQJ6U1MVXOaj8PK2l7WJ3RER9xtqwdhxkhw/edit?usp=sharing"",""ลพบุรี!J27"")"),0)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IFERROR(__xludf.DUMMYFUNCTION("IMPORTRANGE(""https://docs.google.com/spreadsheets/d/1SX6NBoVAgQJ6U1MVXOaj8PK2l7WJ3RER9xtqwdhxkhw/edit?usp=sharing"",""ลพบุรี!I28"")"),80)</f>
        <v>80</v>
      </c>
      <c r="J88" s="204">
        <f ca="1">IFERROR(__xludf.DUMMYFUNCTION("IMPORTRANGE(""https://docs.google.com/spreadsheets/d/1SX6NBoVAgQJ6U1MVXOaj8PK2l7WJ3RER9xtqwdhxkhw/edit?usp=sharing"",""ลพบุรี!J28"")"),0)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IFERROR(__xludf.DUMMYFUNCTION("IMPORTRANGE(""https://docs.google.com/spreadsheets/d/1SX6NBoVAgQJ6U1MVXOaj8PK2l7WJ3RER9xtqwdhxkhw/edit?usp=sharing"",""ลพบุรี!J29"")"),1)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IFERROR(__xludf.DUMMYFUNCTION("IMPORTRANGE(""https://docs.google.com/spreadsheets/d/1SX6NBoVAgQJ6U1MVXOaj8PK2l7WJ3RER9xtqwdhxkhw/edit?usp=sharing"",""ลพบุรี!J30"")"),0)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IFERROR(__xludf.DUMMYFUNCTION("IMPORTRANGE(""https://docs.google.com/spreadsheets/d/1SX6NBoVAgQJ6U1MVXOaj8PK2l7WJ3RER9xtqwdhxkhw/edit?usp=sharing"",""ลพบุรี!I32"")"),0)</f>
        <v>0</v>
      </c>
      <c r="J92" s="142">
        <f ca="1">IFERROR(__xludf.DUMMYFUNCTION("IMPORTRANGE(""https://docs.google.com/spreadsheets/d/1SX6NBoVAgQJ6U1MVXOaj8PK2l7WJ3RER9xtqwdhxkhw/edit?usp=sharing"",""ลพบุรี!J32"")"),0)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IFERROR(__xludf.DUMMYFUNCTION("IMPORTRANGE(""https://docs.google.com/spreadsheets/d/1SX6NBoVAgQJ6U1MVXOaj8PK2l7WJ3RER9xtqwdhxkhw/edit?usp=sharing"",""ลพบุรี!I33"")"),0)</f>
        <v>0</v>
      </c>
      <c r="J93" s="142">
        <f ca="1">IFERROR(__xludf.DUMMYFUNCTION("IMPORTRANGE(""https://docs.google.com/spreadsheets/d/1SX6NBoVAgQJ6U1MVXOaj8PK2l7WJ3RER9xtqwdhxkhw/edit?usp=sharing"",""ลพบุรี!J33"")"),0)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IFERROR(__xludf.DUMMYFUNCTION("IMPORTRANGE(""https://docs.google.com/spreadsheets/d/1Yj_ptqi66GCucihVvJfMjLAmec39IyEx_6qawtMGysU/edit?usp=sharing"",""สบก!AR74"")"),0)</f>
        <v>0</v>
      </c>
      <c r="N98" s="169">
        <f ca="1">IFERROR(__xludf.DUMMYFUNCTION("IMPORTRANGE(""https://docs.google.com/spreadsheets/d/1Yj_ptqi66GCucihVvJfMjLAmec39IyEx_6qawtMGysU/edit?usp=sharing"",""สบก!AS74"")"),0)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IFERROR(__xludf.DUMMYFUNCTION("IMPORTRANGE(""https://docs.google.com/spreadsheets/d/1Yj_ptqi66GCucihVvJfMjLAmec39IyEx_6qawtMGysU/edit?usp=sharing"",""สบก!AN74"")"),0)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IFERROR(__xludf.DUMMYFUNCTION("IMPORTRANGE(""https://docs.google.com/spreadsheets/d/1Yj_ptqi66GCucihVvJfMjLAmec39IyEx_6qawtMGysU/edit?usp=sharing"",""สบก!AO74"")"),0)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IFERROR(__xludf.DUMMYFUNCTION("IMPORTRANGE(""https://docs.google.com/spreadsheets/d/1Yj_ptqi66GCucihVvJfMjLAmec39IyEx_6qawtMGysU/edit?usp=sharing"",""สบก!AP74"")"),0)</f>
        <v>0</v>
      </c>
      <c r="M102" s="49"/>
      <c r="N102" s="49">
        <f ca="1">IFERROR(__xludf.DUMMYFUNCTION("IMPORTRANGE(""https://docs.google.com/spreadsheets/d/1Yj_ptqi66GCucihVvJfMjLAmec39IyEx_6qawtMGysU/edit?usp=sharing"",""สบก!AT74"")"),0)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IFERROR(__xludf.DUMMYFUNCTION("IMPORTRANGE(""https://docs.google.com/spreadsheets/d/1SX6NBoVAgQJ6U1MVXOaj8PK2l7WJ3RER9xtqwdhxkhw/edit?usp=sharing"",""ลพบุรี!J39"")"),0)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IFERROR(__xludf.DUMMYFUNCTION("IMPORTRANGE(""https://docs.google.com/spreadsheets/d/1SX6NBoVAgQJ6U1MVXOaj8PK2l7WJ3RER9xtqwdhxkhw/edit?usp=sharing"",""ลพบุรี!J40"")"),0)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IFERROR(__xludf.DUMMYFUNCTION("IMPORTRANGE(""https://docs.google.com/spreadsheets/d/1SX6NBoVAgQJ6U1MVXOaj8PK2l7WJ3RER9xtqwdhxkhw/edit?usp=sharing"",""ลพบุรี!J41"")"),0)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IFERROR(__xludf.DUMMYFUNCTION("IMPORTRANGE(""https://docs.google.com/spreadsheets/d/1SX6NBoVAgQJ6U1MVXOaj8PK2l7WJ3RER9xtqwdhxkhw/edit?usp=sharing"",""ลพบุรี!J42"")"),0)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IFERROR(__xludf.DUMMYFUNCTION("IMPORTRANGE(""https://docs.google.com/spreadsheets/d/1SX6NBoVAgQJ6U1MVXOaj8PK2l7WJ3RER9xtqwdhxkhw/edit?usp=sharing"",""ลพบุรี!I43"")"),0)</f>
        <v>0</v>
      </c>
      <c r="J108" s="204">
        <f ca="1">IFERROR(__xludf.DUMMYFUNCTION("IMPORTRANGE(""https://docs.google.com/spreadsheets/d/1SX6NBoVAgQJ6U1MVXOaj8PK2l7WJ3RER9xtqwdhxkhw/edit?usp=sharing"",""ลพบุรี!J43"")"),0)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IFERROR(__xludf.DUMMYFUNCTION("IMPORTRANGE(""https://docs.google.com/spreadsheets/d/1SX6NBoVAgQJ6U1MVXOaj8PK2l7WJ3RER9xtqwdhxkhw/edit?usp=sharing"",""ลพบุรี!I44"")"),0)</f>
        <v>0</v>
      </c>
      <c r="J109" s="204">
        <f ca="1">IFERROR(__xludf.DUMMYFUNCTION("IMPORTRANGE(""https://docs.google.com/spreadsheets/d/1SX6NBoVAgQJ6U1MVXOaj8PK2l7WJ3RER9xtqwdhxkhw/edit?usp=sharing"",""ลพบุรี!J44"")"),0)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IFERROR(__xludf.DUMMYFUNCTION("IMPORTRANGE(""https://docs.google.com/spreadsheets/d/1SX6NBoVAgQJ6U1MVXOaj8PK2l7WJ3RER9xtqwdhxkhw/edit?usp=sharing"",""ลพบุรี!I45"")"),0)</f>
        <v>0</v>
      </c>
      <c r="J110" s="204">
        <f ca="1">IFERROR(__xludf.DUMMYFUNCTION("IMPORTRANGE(""https://docs.google.com/spreadsheets/d/1SX6NBoVAgQJ6U1MVXOaj8PK2l7WJ3RER9xtqwdhxkhw/edit?usp=sharing"",""ลพบุรี!J45"")"),0)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IFERROR(__xludf.DUMMYFUNCTION("IMPORTRANGE(""https://docs.google.com/spreadsheets/d/1SX6NBoVAgQJ6U1MVXOaj8PK2l7WJ3RER9xtqwdhxkhw/edit?usp=sharing"",""ลพบุรี!I46"")"),0)</f>
        <v>0</v>
      </c>
      <c r="J111" s="204">
        <f ca="1">IFERROR(__xludf.DUMMYFUNCTION("IMPORTRANGE(""https://docs.google.com/spreadsheets/d/1SX6NBoVAgQJ6U1MVXOaj8PK2l7WJ3RER9xtqwdhxkhw/edit?usp=sharing"",""ลพบุรี!J46"")"),0)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IFERROR(__xludf.DUMMYFUNCTION("IMPORTRANGE(""https://docs.google.com/spreadsheets/d/1SX6NBoVAgQJ6U1MVXOaj8PK2l7WJ3RER9xtqwdhxkhw/edit?usp=sharing"",""ลพบุรี!I47"")"),0)</f>
        <v>0</v>
      </c>
      <c r="J112" s="204">
        <f ca="1">IFERROR(__xludf.DUMMYFUNCTION("IMPORTRANGE(""https://docs.google.com/spreadsheets/d/1SX6NBoVAgQJ6U1MVXOaj8PK2l7WJ3RER9xtqwdhxkhw/edit?usp=sharing"",""ลพบุรี!J47"")"),0)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IFERROR(__xludf.DUMMYFUNCTION("IMPORTRANGE(""https://docs.google.com/spreadsheets/d/1SX6NBoVAgQJ6U1MVXOaj8PK2l7WJ3RER9xtqwdhxkhw/edit?usp=sharing"",""ลพบุรี!I48"")"),0)</f>
        <v>0</v>
      </c>
      <c r="J113" s="204">
        <f ca="1">IFERROR(__xludf.DUMMYFUNCTION("IMPORTRANGE(""https://docs.google.com/spreadsheets/d/1SX6NBoVAgQJ6U1MVXOaj8PK2l7WJ3RER9xtqwdhxkhw/edit?usp=sharing"",""ลพบุรี!J48"")"),0)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IFERROR(__xludf.DUMMYFUNCTION("IMPORTRANGE(""https://docs.google.com/spreadsheets/d/1SX6NBoVAgQJ6U1MVXOaj8PK2l7WJ3RER9xtqwdhxkhw/edit?usp=sharing"",""ลพบุรี!J49"")"),0)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IFERROR(__xludf.DUMMYFUNCTION("IMPORTRANGE(""https://docs.google.com/spreadsheets/d/1SX6NBoVAgQJ6U1MVXOaj8PK2l7WJ3RER9xtqwdhxkhw/edit?usp=sharing"",""ลพบุรี!J50"")"),0)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IFERROR(__xludf.DUMMYFUNCTION("IMPORTRANGE(""https://docs.google.com/spreadsheets/d/1SX6NBoVAgQJ6U1MVXOaj8PK2l7WJ3RER9xtqwdhxkhw/edit?usp=sharing"",""ลพบุรี!I52"")"),15)</f>
        <v>15</v>
      </c>
      <c r="J117" s="142">
        <f ca="1">IFERROR(__xludf.DUMMYFUNCTION("IMPORTRANGE(""https://docs.google.com/spreadsheets/d/1SX6NBoVAgQJ6U1MVXOaj8PK2l7WJ3RER9xtqwdhxkhw/edit?usp=sharing"",""ลพบุรี!J52"")"),15)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18824</v>
      </c>
      <c r="O118" s="151">
        <f t="shared" ref="O118:O120" ca="1" si="59">IF(L118&gt;0,N118*100/L118,0)</f>
        <v>29.009092310063185</v>
      </c>
      <c r="P118" s="151">
        <f t="shared" ref="P118:P120" ca="1" si="60">IF(M118&gt;0,N118*100/M118,0)</f>
        <v>29.009092310063185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18824</v>
      </c>
      <c r="O120" s="156">
        <f t="shared" ca="1" si="59"/>
        <v>29.009092310063185</v>
      </c>
      <c r="P120" s="156">
        <f t="shared" ca="1" si="60"/>
        <v>29.009092310063185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IFERROR(__xludf.DUMMYFUNCTION("IMPORTRANGE(""https://docs.google.com/spreadsheets/d/1Yj_ptqi66GCucihVvJfMjLAmec39IyEx_6qawtMGysU/edit?usp=sharing"",""สบก!BA74"")"),64890)</f>
        <v>64890</v>
      </c>
      <c r="N122" s="169">
        <f ca="1">IFERROR(__xludf.DUMMYFUNCTION("IMPORTRANGE(""https://docs.google.com/spreadsheets/d/1Yj_ptqi66GCucihVvJfMjLAmec39IyEx_6qawtMGysU/edit?usp=sharing"",""สบก!BB74"")"),18824)</f>
        <v>18824</v>
      </c>
      <c r="O122" s="169">
        <f ca="1">IF(L122&gt;0,N122*100/L122,0)</f>
        <v>29.009092310063185</v>
      </c>
      <c r="P122" s="169">
        <f ca="1">IF(M122&gt;0,N122*100/M122,0)</f>
        <v>29.009092310063185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IFERROR(__xludf.DUMMYFUNCTION("IMPORTRANGE(""https://docs.google.com/spreadsheets/d/1Yj_ptqi66GCucihVvJfMjLAmec39IyEx_6qawtMGysU/edit?usp=sharing"",""สบก!AW74"")"),0)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IFERROR(__xludf.DUMMYFUNCTION("IMPORTRANGE(""https://docs.google.com/spreadsheets/d/1Yj_ptqi66GCucihVvJfMjLAmec39IyEx_6qawtMGysU/edit?usp=sharing"",""สบก!AX74"")"),64890)</f>
        <v>64890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IFERROR(__xludf.DUMMYFUNCTION("IMPORTRANGE(""https://docs.google.com/spreadsheets/d/1Yj_ptqi66GCucihVvJfMjLAmec39IyEx_6qawtMGysU/edit?usp=sharing"",""สบก!AY74"")"),0)</f>
        <v>0</v>
      </c>
      <c r="M126" s="49"/>
      <c r="N126" s="49">
        <f ca="1">IFERROR(__xludf.DUMMYFUNCTION("IMPORTRANGE(""https://docs.google.com/spreadsheets/d/1Yj_ptqi66GCucihVvJfMjLAmec39IyEx_6qawtMGysU/edit?usp=sharing"",""สบก!BC74"")"),0)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269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IFERROR(__xludf.DUMMYFUNCTION("IMPORTRANGE(""https://docs.google.com/spreadsheets/d/1SX6NBoVAgQJ6U1MVXOaj8PK2l7WJ3RER9xtqwdhxkhw/edit?usp=sharing"",""ลพบุรี!J58"")"),0)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IFERROR(__xludf.DUMMYFUNCTION("IMPORTRANGE(""https://docs.google.com/spreadsheets/d/1SX6NBoVAgQJ6U1MVXOaj8PK2l7WJ3RER9xtqwdhxkhw/edit?usp=sharing"",""ลพบุรี!J59"")"),1)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IFERROR(__xludf.DUMMYFUNCTION("IMPORTRANGE(""https://docs.google.com/spreadsheets/d/1SX6NBoVAgQJ6U1MVXOaj8PK2l7WJ3RER9xtqwdhxkhw/edit?usp=sharing"",""ลพบุรี!J60"")"),1)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IFERROR(__xludf.DUMMYFUNCTION("IMPORTRANGE(""https://docs.google.com/spreadsheets/d/1SX6NBoVAgQJ6U1MVXOaj8PK2l7WJ3RER9xtqwdhxkhw/edit?usp=sharing"",""ลพบุรี!J61"")"),1)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IFERROR(__xludf.DUMMYFUNCTION("IMPORTRANGE(""https://docs.google.com/spreadsheets/d/1SX6NBoVAgQJ6U1MVXOaj8PK2l7WJ3RER9xtqwdhxkhw/edit?usp=sharing"",""ลพบุรี!I62"")"),15)</f>
        <v>15</v>
      </c>
      <c r="J132" s="204">
        <f ca="1">IFERROR(__xludf.DUMMYFUNCTION("IMPORTRANGE(""https://docs.google.com/spreadsheets/d/1SX6NBoVAgQJ6U1MVXOaj8PK2l7WJ3RER9xtqwdhxkhw/edit?usp=sharing"",""ลพบุรี!J62"")"),15)</f>
        <v>15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IFERROR(__xludf.DUMMYFUNCTION("IMPORTRANGE(""https://docs.google.com/spreadsheets/d/1SX6NBoVAgQJ6U1MVXOaj8PK2l7WJ3RER9xtqwdhxkhw/edit?usp=sharing"",""ลพบุรี!I63"")"),15)</f>
        <v>15</v>
      </c>
      <c r="J133" s="204">
        <f ca="1">IFERROR(__xludf.DUMMYFUNCTION("IMPORTRANGE(""https://docs.google.com/spreadsheets/d/1SX6NBoVAgQJ6U1MVXOaj8PK2l7WJ3RER9xtqwdhxkhw/edit?usp=sharing"",""ลพบุรี!J63"")"),15)</f>
        <v>15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IFERROR(__xludf.DUMMYFUNCTION("IMPORTRANGE(""https://docs.google.com/spreadsheets/d/1SX6NBoVAgQJ6U1MVXOaj8PK2l7WJ3RER9xtqwdhxkhw/edit?usp=sharing"",""ลพบุรี!J64"")"),1)</f>
        <v>1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IFERROR(__xludf.DUMMYFUNCTION("IMPORTRANGE(""https://docs.google.com/spreadsheets/d/1SX6NBoVAgQJ6U1MVXOaj8PK2l7WJ3RER9xtqwdhxkhw/edit?usp=sharing"",""ลพบุรี!J65"")"),0)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IFERROR(__xludf.DUMMYFUNCTION("IMPORTRANGE(""https://docs.google.com/spreadsheets/d/1SX6NBoVAgQJ6U1MVXOaj8PK2l7WJ3RER9xtqwdhxkhw/edit?usp=sharing"",""ลพบุรี!I68"")"),0)</f>
        <v>0</v>
      </c>
      <c r="J138" s="267">
        <f ca="1">IFERROR(__xludf.DUMMYFUNCTION("IMPORTRANGE(""https://docs.google.com/spreadsheets/d/1SX6NBoVAgQJ6U1MVXOaj8PK2l7WJ3RER9xtqwdhxkhw/edit?usp=sharing"",""ลพบุรี!J68"")"),0)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97500</v>
      </c>
      <c r="M140" s="152">
        <f t="shared" ca="1" si="64"/>
        <v>69625</v>
      </c>
      <c r="N140" s="152">
        <f t="shared" ca="1" si="64"/>
        <v>61294</v>
      </c>
      <c r="O140" s="151">
        <f t="shared" ref="O140:O142" ca="1" si="65">IF(L140&gt;0,N140*100/L140,0)</f>
        <v>62.865641025641025</v>
      </c>
      <c r="P140" s="151">
        <f t="shared" ref="P140:P142" ca="1" si="66">IF(M140&gt;0,N140*100/M140,0)</f>
        <v>88.034470377019744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97500</v>
      </c>
      <c r="M142" s="157">
        <f t="shared" ca="1" si="68"/>
        <v>69625</v>
      </c>
      <c r="N142" s="157">
        <f t="shared" ca="1" si="68"/>
        <v>61294</v>
      </c>
      <c r="O142" s="156">
        <f t="shared" ca="1" si="65"/>
        <v>62.865641025641025</v>
      </c>
      <c r="P142" s="156">
        <f t="shared" ca="1" si="66"/>
        <v>88.034470377019744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97500</v>
      </c>
      <c r="M144" s="168">
        <f ca="1">IFERROR(__xludf.DUMMYFUNCTION("IMPORTRANGE(""https://docs.google.com/spreadsheets/d/1Yj_ptqi66GCucihVvJfMjLAmec39IyEx_6qawtMGysU/edit?usp=sharing"",""สบก!BJ74"")"),69625)</f>
        <v>69625</v>
      </c>
      <c r="N144" s="169">
        <f ca="1">IFERROR(__xludf.DUMMYFUNCTION("IMPORTRANGE(""https://docs.google.com/spreadsheets/d/1Yj_ptqi66GCucihVvJfMjLAmec39IyEx_6qawtMGysU/edit?usp=sharing"",""สบก!BK74"")"),61294)</f>
        <v>61294</v>
      </c>
      <c r="O144" s="169">
        <f ca="1">IF(L144&gt;0,N144*100/L144,0)</f>
        <v>62.865641025641025</v>
      </c>
      <c r="P144" s="169">
        <f ca="1">IF(M144&gt;0,N144*100/M144,0)</f>
        <v>88.034470377019744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IFERROR(__xludf.DUMMYFUNCTION("IMPORTRANGE(""https://docs.google.com/spreadsheets/d/1Yj_ptqi66GCucihVvJfMjLAmec39IyEx_6qawtMGysU/edit?usp=sharing"",""สบก!BF74"")"),0)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IFERROR(__xludf.DUMMYFUNCTION("IMPORTRANGE(""https://docs.google.com/spreadsheets/d/1Yj_ptqi66GCucihVvJfMjLAmec39IyEx_6qawtMGysU/edit?usp=sharing"",""สบก!BG74"")"),97500)</f>
        <v>97500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IFERROR(__xludf.DUMMYFUNCTION("IMPORTRANGE(""https://docs.google.com/spreadsheets/d/1Yj_ptqi66GCucihVvJfMjLAmec39IyEx_6qawtMGysU/edit?usp=sharing"",""สบก!BH74"")"),0)</f>
        <v>0</v>
      </c>
      <c r="M148" s="49"/>
      <c r="N148" s="49">
        <f ca="1">IFERROR(__xludf.DUMMYFUNCTION("IMPORTRANGE(""https://docs.google.com/spreadsheets/d/1Yj_ptqi66GCucihVvJfMjLAmec39IyEx_6qawtMGysU/edit?usp=sharing"",""สบก!BL74"")"),0)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IFERROR(__xludf.DUMMYFUNCTION("IMPORTRANGE(""https://docs.google.com/spreadsheets/d/1SX6NBoVAgQJ6U1MVXOaj8PK2l7WJ3RER9xtqwdhxkhw/edit?usp=sharing"",""ลพบุรี!I74"")"),4)</f>
        <v>4</v>
      </c>
      <c r="J149" s="275">
        <f ca="1">IFERROR(__xludf.DUMMYFUNCTION("IMPORTRANGE(""https://docs.google.com/spreadsheets/d/1SX6NBoVAgQJ6U1MVXOaj8PK2l7WJ3RER9xtqwdhxkhw/edit?usp=sharing"",""ลพบุรี!J74"")"),2)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IFERROR(__xludf.DUMMYFUNCTION("IMPORTRANGE(""https://docs.google.com/spreadsheets/d/1SX6NBoVAgQJ6U1MVXOaj8PK2l7WJ3RER9xtqwdhxkhw/edit?usp=sharing"",""ลพบุรี!J79"")"),0)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IFERROR(__xludf.DUMMYFUNCTION("IMPORTRANGE(""https://docs.google.com/spreadsheets/d/1SX6NBoVAgQJ6U1MVXOaj8PK2l7WJ3RER9xtqwdhxkhw/edit?usp=sharing"",""ลพบุรี!J80"")"),1)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IFERROR(__xludf.DUMMYFUNCTION("IMPORTRANGE(""https://docs.google.com/spreadsheets/d/1SX6NBoVAgQJ6U1MVXOaj8PK2l7WJ3RER9xtqwdhxkhw/edit?usp=sharing"",""ลพบุรี!J81"")"),0)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IFERROR(__xludf.DUMMYFUNCTION("IMPORTRANGE(""https://docs.google.com/spreadsheets/d/1SX6NBoVAgQJ6U1MVXOaj8PK2l7WJ3RER9xtqwdhxkhw/edit?usp=sharing"",""ลพบุรี!J82"")"),0)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IFERROR(__xludf.DUMMYFUNCTION("IMPORTRANGE(""https://docs.google.com/spreadsheets/d/1SX6NBoVAgQJ6U1MVXOaj8PK2l7WJ3RER9xtqwdhxkhw/edit?usp=sharing"",""ลพบุรี!I83"")"),4)</f>
        <v>4</v>
      </c>
      <c r="J158" s="189">
        <f ca="1">IFERROR(__xludf.DUMMYFUNCTION("IMPORTRANGE(""https://docs.google.com/spreadsheets/d/1SX6NBoVAgQJ6U1MVXOaj8PK2l7WJ3RER9xtqwdhxkhw/edit?usp=sharing"",""ลพบุรี!J83"")"),2)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IFERROR(__xludf.DUMMYFUNCTION("IMPORTRANGE(""https://docs.google.com/spreadsheets/d/1SX6NBoVAgQJ6U1MVXOaj8PK2l7WJ3RER9xtqwdhxkhw/edit?usp=sharing"",""ลพบุรี!J84"")"),32)</f>
        <v>32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IFERROR(__xludf.DUMMYFUNCTION("IMPORTRANGE(""https://docs.google.com/spreadsheets/d/1SX6NBoVAgQJ6U1MVXOaj8PK2l7WJ3RER9xtqwdhxkhw/edit?usp=sharing"",""ลพบุรี!J85"")"),32)</f>
        <v>32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IFERROR(__xludf.DUMMYFUNCTION("IMPORTRANGE(""https://docs.google.com/spreadsheets/d/1SX6NBoVAgQJ6U1MVXOaj8PK2l7WJ3RER9xtqwdhxkhw/edit?usp=sharing"",""ลพบุรี!J86"")"),0)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IFERROR(__xludf.DUMMYFUNCTION("IMPORTRANGE(""https://docs.google.com/spreadsheets/d/1SX6NBoVAgQJ6U1MVXOaj8PK2l7WJ3RER9xtqwdhxkhw/edit?usp=sharing"",""ลพบุรี!J87"")"),0)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IFERROR(__xludf.DUMMYFUNCTION("IMPORTRANGE(""https://docs.google.com/spreadsheets/d/1SX6NBoVAgQJ6U1MVXOaj8PK2l7WJ3RER9xtqwdhxkhw/edit?usp=sharing"",""ลพบุรี!J88"")"),0)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IFERROR(__xludf.DUMMYFUNCTION("IMPORTRANGE(""https://docs.google.com/spreadsheets/d/1SX6NBoVAgQJ6U1MVXOaj8PK2l7WJ3RER9xtqwdhxkhw/edit?usp=sharing"",""ลพบุรี!I89"")"),4)</f>
        <v>4</v>
      </c>
      <c r="J164" s="284">
        <f ca="1">IFERROR(__xludf.DUMMYFUNCTION("IMPORTRANGE(""https://docs.google.com/spreadsheets/d/1SX6NBoVAgQJ6U1MVXOaj8PK2l7WJ3RER9xtqwdhxkhw/edit?usp=sharing"",""ลพบุรี!J89"")"),4)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IFERROR(__xludf.DUMMYFUNCTION("IMPORTRANGE(""https://docs.google.com/spreadsheets/d/1SX6NBoVAgQJ6U1MVXOaj8PK2l7WJ3RER9xtqwdhxkhw/edit?usp=sharing"",""ลพบุรี!J94"")"),0)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IFERROR(__xludf.DUMMYFUNCTION("IMPORTRANGE(""https://docs.google.com/spreadsheets/d/1SX6NBoVAgQJ6U1MVXOaj8PK2l7WJ3RER9xtqwdhxkhw/edit?usp=sharing"",""ลพบุรี!J95"")"),0)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IFERROR(__xludf.DUMMYFUNCTION("IMPORTRANGE(""https://docs.google.com/spreadsheets/d/1SX6NBoVAgQJ6U1MVXOaj8PK2l7WJ3RER9xtqwdhxkhw/edit?usp=sharing"",""ลพบุรี!J96"")"),0)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IFERROR(__xludf.DUMMYFUNCTION("IMPORTRANGE(""https://docs.google.com/spreadsheets/d/1SX6NBoVAgQJ6U1MVXOaj8PK2l7WJ3RER9xtqwdhxkhw/edit?usp=sharing"",""ลพบุรี!J97"")"),0)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IFERROR(__xludf.DUMMYFUNCTION("IMPORTRANGE(""https://docs.google.com/spreadsheets/d/1SX6NBoVAgQJ6U1MVXOaj8PK2l7WJ3RER9xtqwdhxkhw/edit?usp=sharing"",""ลพบุรี!I98"")"),4)</f>
        <v>4</v>
      </c>
      <c r="J173" s="189">
        <f ca="1">IFERROR(__xludf.DUMMYFUNCTION("IMPORTRANGE(""https://docs.google.com/spreadsheets/d/1SX6NBoVAgQJ6U1MVXOaj8PK2l7WJ3RER9xtqwdhxkhw/edit?usp=sharing"",""ลพบุรี!J98"")"),4)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IFERROR(__xludf.DUMMYFUNCTION("IMPORTRANGE(""https://docs.google.com/spreadsheets/d/1SX6NBoVAgQJ6U1MVXOaj8PK2l7WJ3RER9xtqwdhxkhw/edit?usp=sharing"",""ลพบุรี!J99"")"),1)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IFERROR(__xludf.DUMMYFUNCTION("IMPORTRANGE(""https://docs.google.com/spreadsheets/d/1SX6NBoVAgQJ6U1MVXOaj8PK2l7WJ3RER9xtqwdhxkhw/edit?usp=sharing"",""ลพบุรี!J100"")"),1)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IFERROR(__xludf.DUMMYFUNCTION("IMPORTRANGE(""https://docs.google.com/spreadsheets/d/1SX6NBoVAgQJ6U1MVXOaj8PK2l7WJ3RER9xtqwdhxkhw/edit?usp=sharing"",""ลพบุรี!I101"")"),0)</f>
        <v>0</v>
      </c>
      <c r="J176" s="284">
        <f ca="1">IFERROR(__xludf.DUMMYFUNCTION("IMPORTRANGE(""https://docs.google.com/spreadsheets/d/1SX6NBoVAgQJ6U1MVXOaj8PK2l7WJ3RER9xtqwdhxkhw/edit?usp=sharing"",""ลพบุรี!J101"")"),0)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IFERROR(__xludf.DUMMYFUNCTION("IMPORTRANGE(""https://docs.google.com/spreadsheets/d/1SX6NBoVAgQJ6U1MVXOaj8PK2l7WJ3RER9xtqwdhxkhw/edit?usp=sharing"",""ลพบุรี!J106"")"),0)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IFERROR(__xludf.DUMMYFUNCTION("IMPORTRANGE(""https://docs.google.com/spreadsheets/d/1SX6NBoVAgQJ6U1MVXOaj8PK2l7WJ3RER9xtqwdhxkhw/edit?usp=sharing"",""ลพบุรี!J107"")"),0)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IFERROR(__xludf.DUMMYFUNCTION("IMPORTRANGE(""https://docs.google.com/spreadsheets/d/1SX6NBoVAgQJ6U1MVXOaj8PK2l7WJ3RER9xtqwdhxkhw/edit?usp=sharing"",""ลพบุรี!J108"")"),0)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IFERROR(__xludf.DUMMYFUNCTION("IMPORTRANGE(""https://docs.google.com/spreadsheets/d/1SX6NBoVAgQJ6U1MVXOaj8PK2l7WJ3RER9xtqwdhxkhw/edit?usp=sharing"",""ลพบุรี!J109"")"),0)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IFERROR(__xludf.DUMMYFUNCTION("IMPORTRANGE(""https://docs.google.com/spreadsheets/d/1SX6NBoVAgQJ6U1MVXOaj8PK2l7WJ3RER9xtqwdhxkhw/edit?usp=sharing"",""ลพบุรี!I110"")"),0)</f>
        <v>0</v>
      </c>
      <c r="J185" s="204">
        <f ca="1">IFERROR(__xludf.DUMMYFUNCTION("IMPORTRANGE(""https://docs.google.com/spreadsheets/d/1SX6NBoVAgQJ6U1MVXOaj8PK2l7WJ3RER9xtqwdhxkhw/edit?usp=sharing"",""ลพบุรี!J110"")"),0)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IFERROR(__xludf.DUMMYFUNCTION("IMPORTRANGE(""https://docs.google.com/spreadsheets/d/1SX6NBoVAgQJ6U1MVXOaj8PK2l7WJ3RER9xtqwdhxkhw/edit?usp=sharing"",""ลพบุรี!I111"")"),0)</f>
        <v>0</v>
      </c>
      <c r="J186" s="204">
        <f ca="1">IFERROR(__xludf.DUMMYFUNCTION("IMPORTRANGE(""https://docs.google.com/spreadsheets/d/1SX6NBoVAgQJ6U1MVXOaj8PK2l7WJ3RER9xtqwdhxkhw/edit?usp=sharing"",""ลพบุรี!J111"")"),0)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IFERROR(__xludf.DUMMYFUNCTION("IMPORTRANGE(""https://docs.google.com/spreadsheets/d/1SX6NBoVAgQJ6U1MVXOaj8PK2l7WJ3RER9xtqwdhxkhw/edit?usp=sharing"",""ลพบุรี!J112"")"),0)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IFERROR(__xludf.DUMMYFUNCTION("IMPORTRANGE(""https://docs.google.com/spreadsheets/d/1SX6NBoVAgQJ6U1MVXOaj8PK2l7WJ3RER9xtqwdhxkhw/edit?usp=sharing"",""ลพบุรี!J113"")"),0)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IFERROR(__xludf.DUMMYFUNCTION("IMPORTRANGE(""https://docs.google.com/spreadsheets/d/1SX6NBoVAgQJ6U1MVXOaj8PK2l7WJ3RER9xtqwdhxkhw/edit?usp=sharing"",""ลพบุรี!I114"")"),100000)</f>
        <v>100000</v>
      </c>
      <c r="J189" s="284">
        <f ca="1">IFERROR(__xludf.DUMMYFUNCTION("IMPORTRANGE(""https://docs.google.com/spreadsheets/d/1SX6NBoVAgQJ6U1MVXOaj8PK2l7WJ3RER9xtqwdhxkhw/edit?usp=sharing"",""ลพบุรี!J114"")"),0)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IFERROR(__xludf.DUMMYFUNCTION("IMPORTRANGE(""https://docs.google.com/spreadsheets/d/1SX6NBoVAgQJ6U1MVXOaj8PK2l7WJ3RER9xtqwdhxkhw/edit?usp=sharing"",""ลพบุรี!J119"")"),1)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IFERROR(__xludf.DUMMYFUNCTION("IMPORTRANGE(""https://docs.google.com/spreadsheets/d/1SX6NBoVAgQJ6U1MVXOaj8PK2l7WJ3RER9xtqwdhxkhw/edit?usp=sharing"",""ลพบุรี!J120"")"),0)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IFERROR(__xludf.DUMMYFUNCTION("IMPORTRANGE(""https://docs.google.com/spreadsheets/d/1SX6NBoVAgQJ6U1MVXOaj8PK2l7WJ3RER9xtqwdhxkhw/edit?usp=sharing"",""ลพบุรี!J121"")"),0)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IFERROR(__xludf.DUMMYFUNCTION("IMPORTRANGE(""https://docs.google.com/spreadsheets/d/1SX6NBoVAgQJ6U1MVXOaj8PK2l7WJ3RER9xtqwdhxkhw/edit?usp=sharing"",""ลพบุรี!J122"")"),0)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IFERROR(__xludf.DUMMYFUNCTION("IMPORTRANGE(""https://docs.google.com/spreadsheets/d/1SX6NBoVAgQJ6U1MVXOaj8PK2l7WJ3RER9xtqwdhxkhw/edit?usp=sharing"",""ลพบุรี!I124"")"),100000)</f>
        <v>100000</v>
      </c>
      <c r="J199" s="189">
        <f ca="1">IFERROR(__xludf.DUMMYFUNCTION("IMPORTRANGE(""https://docs.google.com/spreadsheets/d/1SX6NBoVAgQJ6U1MVXOaj8PK2l7WJ3RER9xtqwdhxkhw/edit?usp=sharing"",""ลพบุรี!J124"")"),0)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IFERROR(__xludf.DUMMYFUNCTION("IMPORTRANGE(""https://docs.google.com/spreadsheets/d/1SX6NBoVAgQJ6U1MVXOaj8PK2l7WJ3RER9xtqwdhxkhw/edit?usp=sharing"",""ลพบุรี!I125"")"),100000)</f>
        <v>100000</v>
      </c>
      <c r="J200" s="189">
        <f ca="1">IFERROR(__xludf.DUMMYFUNCTION("IMPORTRANGE(""https://docs.google.com/spreadsheets/d/1SX6NBoVAgQJ6U1MVXOaj8PK2l7WJ3RER9xtqwdhxkhw/edit?usp=sharing"",""ลพบุรี!J125"")"),0)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IFERROR(__xludf.DUMMYFUNCTION("IMPORTRANGE(""https://docs.google.com/spreadsheets/d/1SX6NBoVAgQJ6U1MVXOaj8PK2l7WJ3RER9xtqwdhxkhw/edit?usp=sharing"",""ลพบุรี!I126"")"),0)</f>
        <v>0</v>
      </c>
      <c r="J201" s="189">
        <f ca="1">IFERROR(__xludf.DUMMYFUNCTION("IMPORTRANGE(""https://docs.google.com/spreadsheets/d/1SX6NBoVAgQJ6U1MVXOaj8PK2l7WJ3RER9xtqwdhxkhw/edit?usp=sharing"",""ลพบุรี!J126"")"),0)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IFERROR(__xludf.DUMMYFUNCTION("IMPORTRANGE(""https://docs.google.com/spreadsheets/d/1SX6NBoVAgQJ6U1MVXOaj8PK2l7WJ3RER9xtqwdhxkhw/edit?usp=sharing"",""ลพบุรี!J127"")"),0)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IFERROR(__xludf.DUMMYFUNCTION("IMPORTRANGE(""https://docs.google.com/spreadsheets/d/1SX6NBoVAgQJ6U1MVXOaj8PK2l7WJ3RER9xtqwdhxkhw/edit?usp=sharing"",""ลพบุรี!J128"")"),0)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IFERROR(__xludf.DUMMYFUNCTION("IMPORTRANGE(""https://docs.google.com/spreadsheets/d/1SX6NBoVAgQJ6U1MVXOaj8PK2l7WJ3RER9xtqwdhxkhw/edit?usp=sharing"",""ลพบุรี!I129"")"),0)</f>
        <v>0</v>
      </c>
      <c r="J204" s="284">
        <f ca="1">IFERROR(__xludf.DUMMYFUNCTION("IMPORTRANGE(""https://docs.google.com/spreadsheets/d/1SX6NBoVAgQJ6U1MVXOaj8PK2l7WJ3RER9xtqwdhxkhw/edit?usp=sharing"",""ลพบุรี!J129"")"),0)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IFERROR(__xludf.DUMMYFUNCTION("IMPORTRANGE(""https://docs.google.com/spreadsheets/d/1SX6NBoVAgQJ6U1MVXOaj8PK2l7WJ3RER9xtqwdhxkhw/edit?usp=sharing"",""ลพบุรี!J134"")"),0)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IFERROR(__xludf.DUMMYFUNCTION("IMPORTRANGE(""https://docs.google.com/spreadsheets/d/1SX6NBoVAgQJ6U1MVXOaj8PK2l7WJ3RER9xtqwdhxkhw/edit?usp=sharing"",""ลพบุรี!J135"")"),0)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IFERROR(__xludf.DUMMYFUNCTION("IMPORTRANGE(""https://docs.google.com/spreadsheets/d/1SX6NBoVAgQJ6U1MVXOaj8PK2l7WJ3RER9xtqwdhxkhw/edit?usp=sharing"",""ลพบุรี!J136"")"),0)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IFERROR(__xludf.DUMMYFUNCTION("IMPORTRANGE(""https://docs.google.com/spreadsheets/d/1SX6NBoVAgQJ6U1MVXOaj8PK2l7WJ3RER9xtqwdhxkhw/edit?usp=sharing"",""ลพบุรี!J137"")"),0)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IFERROR(__xludf.DUMMYFUNCTION("IMPORTRANGE(""https://docs.google.com/spreadsheets/d/1SX6NBoVAgQJ6U1MVXOaj8PK2l7WJ3RER9xtqwdhxkhw/edit?usp=sharing"",""ลพบุรี!I138"")"),0)</f>
        <v>0</v>
      </c>
      <c r="J213" s="204">
        <f ca="1">IFERROR(__xludf.DUMMYFUNCTION("IMPORTRANGE(""https://docs.google.com/spreadsheets/d/1SX6NBoVAgQJ6U1MVXOaj8PK2l7WJ3RER9xtqwdhxkhw/edit?usp=sharing"",""ลพบุรี!J138"")"),0)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IFERROR(__xludf.DUMMYFUNCTION("IMPORTRANGE(""https://docs.google.com/spreadsheets/d/1SX6NBoVAgQJ6U1MVXOaj8PK2l7WJ3RER9xtqwdhxkhw/edit?usp=sharing"",""ลพบุรี!I140"")"),0)</f>
        <v>0</v>
      </c>
      <c r="J215" s="204">
        <f ca="1">IFERROR(__xludf.DUMMYFUNCTION("IMPORTRANGE(""https://docs.google.com/spreadsheets/d/1SX6NBoVAgQJ6U1MVXOaj8PK2l7WJ3RER9xtqwdhxkhw/edit?usp=sharing"",""ลพบุรี!J140"")"),0)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IFERROR(__xludf.DUMMYFUNCTION("IMPORTRANGE(""https://docs.google.com/spreadsheets/d/1SX6NBoVAgQJ6U1MVXOaj8PK2l7WJ3RER9xtqwdhxkhw/edit?usp=sharing"",""ลพบุรี!I141"")"),0)</f>
        <v>0</v>
      </c>
      <c r="J216" s="204">
        <f ca="1">IFERROR(__xludf.DUMMYFUNCTION("IMPORTRANGE(""https://docs.google.com/spreadsheets/d/1SX6NBoVAgQJ6U1MVXOaj8PK2l7WJ3RER9xtqwdhxkhw/edit?usp=sharing"",""ลพบุรี!J141"")"),0)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IFERROR(__xludf.DUMMYFUNCTION("IMPORTRANGE(""https://docs.google.com/spreadsheets/d/1SX6NBoVAgQJ6U1MVXOaj8PK2l7WJ3RER9xtqwdhxkhw/edit?usp=sharing"",""ลพบุรี!J142"")"),0)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IFERROR(__xludf.DUMMYFUNCTION("IMPORTRANGE(""https://docs.google.com/spreadsheets/d/1SX6NBoVAgQJ6U1MVXOaj8PK2l7WJ3RER9xtqwdhxkhw/edit?usp=sharing"",""ลพบุรี!J143"")"),0)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IFERROR(__xludf.DUMMYFUNCTION("IMPORTRANGE(""https://docs.google.com/spreadsheets/d/1SX6NBoVAgQJ6U1MVXOaj8PK2l7WJ3RER9xtqwdhxkhw/edit?usp=sharing"",""ลพบุรี!I144"")"),15)</f>
        <v>15</v>
      </c>
      <c r="J219" s="267">
        <f ca="1">IFERROR(__xludf.DUMMYFUNCTION("IMPORTRANGE(""https://docs.google.com/spreadsheets/d/1SX6NBoVAgQJ6U1MVXOaj8PK2l7WJ3RER9xtqwdhxkhw/edit?usp=sharing"",""ลพบุรี!J144"")"),15)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IFERROR(__xludf.DUMMYFUNCTION("IMPORTRANGE(""https://docs.google.com/spreadsheets/d/1Yj_ptqi66GCucihVvJfMjLAmec39IyEx_6qawtMGysU/edit?usp=sharing"",""สบก!BS74"")"),21125)</f>
        <v>21125</v>
      </c>
      <c r="N224" s="169">
        <f ca="1">IFERROR(__xludf.DUMMYFUNCTION("IMPORTRANGE(""https://docs.google.com/spreadsheets/d/1Yj_ptqi66GCucihVvJfMjLAmec39IyEx_6qawtMGysU/edit?usp=sharing"",""สบก!BT74"")"),21125)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IFERROR(__xludf.DUMMYFUNCTION("IMPORTRANGE(""https://docs.google.com/spreadsheets/d/1Yj_ptqi66GCucihVvJfMjLAmec39IyEx_6qawtMGysU/edit?usp=sharing"",""สบก!BO74"")"),0)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IFERROR(__xludf.DUMMYFUNCTION("IMPORTRANGE(""https://docs.google.com/spreadsheets/d/1Yj_ptqi66GCucihVvJfMjLAmec39IyEx_6qawtMGysU/edit?usp=sharing"",""สบก!BP74"")"),21125)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IFERROR(__xludf.DUMMYFUNCTION("IMPORTRANGE(""https://docs.google.com/spreadsheets/d/1Yj_ptqi66GCucihVvJfMjLAmec39IyEx_6qawtMGysU/edit?usp=sharing"",""สบก!BQ74"")"),0)</f>
        <v>0</v>
      </c>
      <c r="M228" s="49"/>
      <c r="N228" s="49">
        <f ca="1">IFERROR(__xludf.DUMMYFUNCTION("IMPORTRANGE(""https://docs.google.com/spreadsheets/d/1Yj_ptqi66GCucihVvJfMjLAmec39IyEx_6qawtMGysU/edit?usp=sharing"",""สบก!BU74"")"),0)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IFERROR(__xludf.DUMMYFUNCTION("IMPORTRANGE(""https://docs.google.com/spreadsheets/d/1SX6NBoVAgQJ6U1MVXOaj8PK2l7WJ3RER9xtqwdhxkhw/edit?usp=sharing"",""ลพบุรี!I149"")"),15)</f>
        <v>15</v>
      </c>
      <c r="J229" s="267">
        <f ca="1">IFERROR(__xludf.DUMMYFUNCTION("IMPORTRANGE(""https://docs.google.com/spreadsheets/d/1SX6NBoVAgQJ6U1MVXOaj8PK2l7WJ3RER9xtqwdhxkhw/edit?usp=sharing"",""ลพบุรี!J149"")"),15)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IFERROR(__xludf.DUMMYFUNCTION("IMPORTRANGE(""https://docs.google.com/spreadsheets/d/1SX6NBoVAgQJ6U1MVXOaj8PK2l7WJ3RER9xtqwdhxkhw/edit?usp=sharing"",""ลพบุรี!J151"")"),0)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IFERROR(__xludf.DUMMYFUNCTION("IMPORTRANGE(""https://docs.google.com/spreadsheets/d/1SX6NBoVAgQJ6U1MVXOaj8PK2l7WJ3RER9xtqwdhxkhw/edit?usp=sharing"",""ลพบุรี!J152"")"),0)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IFERROR(__xludf.DUMMYFUNCTION("IMPORTRANGE(""https://docs.google.com/spreadsheets/d/1SX6NBoVAgQJ6U1MVXOaj8PK2l7WJ3RER9xtqwdhxkhw/edit?usp=sharing"",""ลพบุรี!J153"")"),0)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IFERROR(__xludf.DUMMYFUNCTION("IMPORTRANGE(""https://docs.google.com/spreadsheets/d/1SX6NBoVAgQJ6U1MVXOaj8PK2l7WJ3RER9xtqwdhxkhw/edit?usp=sharing"",""ลพบุรี!J154"")"),0)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IFERROR(__xludf.DUMMYFUNCTION("IMPORTRANGE(""https://docs.google.com/spreadsheets/d/1SX6NBoVAgQJ6U1MVXOaj8PK2l7WJ3RER9xtqwdhxkhw/edit?usp=sharing"",""ลพบุรี!I155"")"),15)</f>
        <v>15</v>
      </c>
      <c r="J235" s="189">
        <f ca="1">IFERROR(__xludf.DUMMYFUNCTION("IMPORTRANGE(""https://docs.google.com/spreadsheets/d/1SX6NBoVAgQJ6U1MVXOaj8PK2l7WJ3RER9xtqwdhxkhw/edit?usp=sharing"",""ลพบุรี!J155"")"),15)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IFERROR(__xludf.DUMMYFUNCTION("IMPORTRANGE(""https://docs.google.com/spreadsheets/d/1SX6NBoVAgQJ6U1MVXOaj8PK2l7WJ3RER9xtqwdhxkhw/edit?usp=sharing"",""ลพบุรี!J156"")"),1)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IFERROR(__xludf.DUMMYFUNCTION("IMPORTRANGE(""https://docs.google.com/spreadsheets/d/1SX6NBoVAgQJ6U1MVXOaj8PK2l7WJ3RER9xtqwdhxkhw/edit?usp=sharing"",""ลพบุรี!J157"")"),1)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IFERROR(__xludf.DUMMYFUNCTION("IMPORTRANGE(""https://docs.google.com/spreadsheets/d/1SX6NBoVAgQJ6U1MVXOaj8PK2l7WJ3RER9xtqwdhxkhw/edit?usp=sharing"",""ลพบุรี!I158"")"),0)</f>
        <v>0</v>
      </c>
      <c r="J238" s="267">
        <f ca="1">IFERROR(__xludf.DUMMYFUNCTION("IMPORTRANGE(""https://docs.google.com/spreadsheets/d/1SX6NBoVAgQJ6U1MVXOaj8PK2l7WJ3RER9xtqwdhxkhw/edit?usp=sharing"",""ลพบุรี!J158"")"),0)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IFERROR(__xludf.DUMMYFUNCTION("IMPORTRANGE(""https://docs.google.com/spreadsheets/d/1SX6NBoVAgQJ6U1MVXOaj8PK2l7WJ3RER9xtqwdhxkhw/edit?usp=sharing"",""ลพบุรี!J159"")"),"")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IFERROR(__xludf.DUMMYFUNCTION("IMPORTRANGE(""https://docs.google.com/spreadsheets/d/1SX6NBoVAgQJ6U1MVXOaj8PK2l7WJ3RER9xtqwdhxkhw/edit?usp=sharing"",""ลพบุรี!J161"")"),0)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IFERROR(__xludf.DUMMYFUNCTION("IMPORTRANGE(""https://docs.google.com/spreadsheets/d/1SX6NBoVAgQJ6U1MVXOaj8PK2l7WJ3RER9xtqwdhxkhw/edit?usp=sharing"",""ลพบุรี!J162"")"),0)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IFERROR(__xludf.DUMMYFUNCTION("IMPORTRANGE(""https://docs.google.com/spreadsheets/d/1SX6NBoVAgQJ6U1MVXOaj8PK2l7WJ3RER9xtqwdhxkhw/edit?usp=sharing"",""ลพบุรี!J163"")"),0)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IFERROR(__xludf.DUMMYFUNCTION("IMPORTRANGE(""https://docs.google.com/spreadsheets/d/1SX6NBoVAgQJ6U1MVXOaj8PK2l7WJ3RER9xtqwdhxkhw/edit?usp=sharing"",""ลพบุรี!I164"")"),0)</f>
        <v>0</v>
      </c>
      <c r="J244" s="188">
        <f ca="1">IFERROR(__xludf.DUMMYFUNCTION("IMPORTRANGE(""https://docs.google.com/spreadsheets/d/1SX6NBoVAgQJ6U1MVXOaj8PK2l7WJ3RER9xtqwdhxkhw/edit?usp=sharing"",""ลพบุรี!J164"")"),0)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IFERROR(__xludf.DUMMYFUNCTION("IMPORTRANGE(""https://docs.google.com/spreadsheets/d/1SX6NBoVAgQJ6U1MVXOaj8PK2l7WJ3RER9xtqwdhxkhw/edit?usp=sharing"",""ลพบุรี!J165"")"),0)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IFERROR(__xludf.DUMMYFUNCTION("IMPORTRANGE(""https://docs.google.com/spreadsheets/d/1SX6NBoVAgQJ6U1MVXOaj8PK2l7WJ3RER9xtqwdhxkhw/edit?usp=sharing"",""ลพบุรี!J166"")"),0)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IFERROR(__xludf.DUMMYFUNCTION("IMPORTRANGE(""https://docs.google.com/spreadsheets/d/1SX6NBoVAgQJ6U1MVXOaj8PK2l7WJ3RER9xtqwdhxkhw/edit?usp=sharing"",""ลพบุรี!I169"")"),25)</f>
        <v>25</v>
      </c>
      <c r="J249" s="316">
        <f ca="1">IFERROR(__xludf.DUMMYFUNCTION("IMPORTRANGE(""https://docs.google.com/spreadsheets/d/1SX6NBoVAgQJ6U1MVXOaj8PK2l7WJ3RER9xtqwdhxkhw/edit?usp=sharing"",""ลพบุรี!J169"")"),25)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199500</v>
      </c>
      <c r="M250" s="152">
        <f t="shared" ca="1" si="77"/>
        <v>177500</v>
      </c>
      <c r="N250" s="152">
        <f t="shared" ca="1" si="77"/>
        <v>84039</v>
      </c>
      <c r="O250" s="151">
        <f t="shared" ref="O250:O252" ca="1" si="78">IF(L250&gt;0,N250*100/L250,0)</f>
        <v>42.124812030075191</v>
      </c>
      <c r="P250" s="151">
        <f t="shared" ref="P250:P252" ca="1" si="79">IF(M250&gt;0,N250*100/M250,0)</f>
        <v>47.345915492957744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199500</v>
      </c>
      <c r="M252" s="157">
        <f t="shared" ca="1" si="81"/>
        <v>177500</v>
      </c>
      <c r="N252" s="157">
        <f t="shared" ca="1" si="81"/>
        <v>84039</v>
      </c>
      <c r="O252" s="156">
        <f t="shared" ca="1" si="78"/>
        <v>42.124812030075191</v>
      </c>
      <c r="P252" s="156">
        <f t="shared" ca="1" si="79"/>
        <v>47.345915492957744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199500</v>
      </c>
      <c r="M254" s="168">
        <f ca="1">IFERROR(__xludf.DUMMYFUNCTION("IMPORTRANGE(""https://docs.google.com/spreadsheets/d/1Yj_ptqi66GCucihVvJfMjLAmec39IyEx_6qawtMGysU/edit?usp=sharing"",""สบก!CB74"")"),177500)</f>
        <v>177500</v>
      </c>
      <c r="N254" s="169">
        <f ca="1">IFERROR(__xludf.DUMMYFUNCTION("IMPORTRANGE(""https://docs.google.com/spreadsheets/d/1Yj_ptqi66GCucihVvJfMjLAmec39IyEx_6qawtMGysU/edit?usp=sharing"",""สบก!CC74"")"),84039)</f>
        <v>84039</v>
      </c>
      <c r="O254" s="169">
        <f ca="1">IF(L254&gt;0,N254*100/L254,0)</f>
        <v>42.124812030075191</v>
      </c>
      <c r="P254" s="169">
        <f ca="1">IF(M254&gt;0,N254*100/M254,0)</f>
        <v>47.345915492957744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IFERROR(__xludf.DUMMYFUNCTION("IMPORTRANGE(""https://docs.google.com/spreadsheets/d/1Yj_ptqi66GCucihVvJfMjLAmec39IyEx_6qawtMGysU/edit?usp=sharing"",""สบก!BX74"")"),0)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IFERROR(__xludf.DUMMYFUNCTION("IMPORTRANGE(""https://docs.google.com/spreadsheets/d/1Yj_ptqi66GCucihVvJfMjLAmec39IyEx_6qawtMGysU/edit?usp=sharing"",""สบก!BY74"")"),199500)</f>
        <v>199500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IFERROR(__xludf.DUMMYFUNCTION("IMPORTRANGE(""https://docs.google.com/spreadsheets/d/1Yj_ptqi66GCucihVvJfMjLAmec39IyEx_6qawtMGysU/edit?usp=sharing"",""สบก!BZ74"")"),0)</f>
        <v>0</v>
      </c>
      <c r="M258" s="49"/>
      <c r="N258" s="49">
        <f ca="1">IFERROR(__xludf.DUMMYFUNCTION("IMPORTRANGE(""https://docs.google.com/spreadsheets/d/1Yj_ptqi66GCucihVvJfMjLAmec39IyEx_6qawtMGysU/edit?usp=sharing"",""สบก!CD74"")"),0)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IFERROR(__xludf.DUMMYFUNCTION("IMPORTRANGE(""https://docs.google.com/spreadsheets/d/1SX6NBoVAgQJ6U1MVXOaj8PK2l7WJ3RER9xtqwdhxkhw/edit?usp=sharing"",""ลพบุรี!J175"")"),0)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IFERROR(__xludf.DUMMYFUNCTION("IMPORTRANGE(""https://docs.google.com/spreadsheets/d/1SX6NBoVAgQJ6U1MVXOaj8PK2l7WJ3RER9xtqwdhxkhw/edit?usp=sharing"",""ลพบุรี!J176"")"),1)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IFERROR(__xludf.DUMMYFUNCTION("IMPORTRANGE(""https://docs.google.com/spreadsheets/d/1SX6NBoVAgQJ6U1MVXOaj8PK2l7WJ3RER9xtqwdhxkhw/edit?usp=sharing"",""ลพบุรี!J177"")"),1)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IFERROR(__xludf.DUMMYFUNCTION("IMPORTRANGE(""https://docs.google.com/spreadsheets/d/1SX6NBoVAgQJ6U1MVXOaj8PK2l7WJ3RER9xtqwdhxkhw/edit?usp=sharing"",""ลพบุรี!J178"")"),1)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IFERROR(__xludf.DUMMYFUNCTION("IMPORTRANGE(""https://docs.google.com/spreadsheets/d/1SX6NBoVAgQJ6U1MVXOaj8PK2l7WJ3RER9xtqwdhxkhw/edit?usp=sharing"",""ลพบุรี!I179"")"),1)</f>
        <v>1</v>
      </c>
      <c r="J264" s="189">
        <f ca="1">IFERROR(__xludf.DUMMYFUNCTION("IMPORTRANGE(""https://docs.google.com/spreadsheets/d/1SX6NBoVAgQJ6U1MVXOaj8PK2l7WJ3RER9xtqwdhxkhw/edit?usp=sharing"",""ลพบุรี!J179"")"),1)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IFERROR(__xludf.DUMMYFUNCTION("IMPORTRANGE(""https://docs.google.com/spreadsheets/d/1SX6NBoVAgQJ6U1MVXOaj8PK2l7WJ3RER9xtqwdhxkhw/edit?usp=sharing"",""ลพบุรี!I180"")"),25)</f>
        <v>25</v>
      </c>
      <c r="J265" s="189">
        <f ca="1">IFERROR(__xludf.DUMMYFUNCTION("IMPORTRANGE(""https://docs.google.com/spreadsheets/d/1SX6NBoVAgQJ6U1MVXOaj8PK2l7WJ3RER9xtqwdhxkhw/edit?usp=sharing"",""ลพบุรี!J180"")"),25)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IFERROR(__xludf.DUMMYFUNCTION("IMPORTRANGE(""https://docs.google.com/spreadsheets/d/1SX6NBoVAgQJ6U1MVXOaj8PK2l7WJ3RER9xtqwdhxkhw/edit?usp=sharing"",""ลพบุรี!I181"")"),25)</f>
        <v>25</v>
      </c>
      <c r="J266" s="189">
        <f ca="1">IFERROR(__xludf.DUMMYFUNCTION("IMPORTRANGE(""https://docs.google.com/spreadsheets/d/1SX6NBoVAgQJ6U1MVXOaj8PK2l7WJ3RER9xtqwdhxkhw/edit?usp=sharing"",""ลพบุรี!J181"")"),0)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IFERROR(__xludf.DUMMYFUNCTION("IMPORTRANGE(""https://docs.google.com/spreadsheets/d/1SX6NBoVAgQJ6U1MVXOaj8PK2l7WJ3RER9xtqwdhxkhw/edit?usp=sharing"",""ลพบุรี!I182"")"),1)</f>
        <v>1</v>
      </c>
      <c r="J267" s="189">
        <f ca="1">IFERROR(__xludf.DUMMYFUNCTION("IMPORTRANGE(""https://docs.google.com/spreadsheets/d/1SX6NBoVAgQJ6U1MVXOaj8PK2l7WJ3RER9xtqwdhxkhw/edit?usp=sharing"",""ลพบุรี!J182"")"),1)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IFERROR(__xludf.DUMMYFUNCTION("IMPORTRANGE(""https://docs.google.com/spreadsheets/d/1SX6NBoVAgQJ6U1MVXOaj8PK2l7WJ3RER9xtqwdhxkhw/edit?usp=sharing"",""ลพบุรี!J183"")"),1)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IFERROR(__xludf.DUMMYFUNCTION("IMPORTRANGE(""https://docs.google.com/spreadsheets/d/1SX6NBoVAgQJ6U1MVXOaj8PK2l7WJ3RER9xtqwdhxkhw/edit?usp=sharing"",""ลพบุรี!J184"")"),0)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IFERROR(__xludf.DUMMYFUNCTION("IMPORTRANGE(""https://docs.google.com/spreadsheets/d/1SX6NBoVAgQJ6U1MVXOaj8PK2l7WJ3RER9xtqwdhxkhw/edit?usp=sharing"",""ลพบุรี!I185"")"),15)</f>
        <v>15</v>
      </c>
      <c r="J270" s="316">
        <f ca="1">IFERROR(__xludf.DUMMYFUNCTION("IMPORTRANGE(""https://docs.google.com/spreadsheets/d/1SX6NBoVAgQJ6U1MVXOaj8PK2l7WJ3RER9xtqwdhxkhw/edit?usp=sharing"",""ลพบุรี!J185"")"),15)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19340</v>
      </c>
      <c r="O271" s="151">
        <f t="shared" ref="O271:O273" ca="1" si="84">IF(L271&gt;0,N271*100/L271,0)</f>
        <v>35.036231884057969</v>
      </c>
      <c r="P271" s="151">
        <f t="shared" ref="P271:P273" ca="1" si="85">IF(M271&gt;0,N271*100/M271,0)</f>
        <v>59.968992248062015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19340</v>
      </c>
      <c r="O273" s="156">
        <f t="shared" ca="1" si="84"/>
        <v>35.036231884057969</v>
      </c>
      <c r="P273" s="156">
        <f t="shared" ca="1" si="85"/>
        <v>59.968992248062015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IFERROR(__xludf.DUMMYFUNCTION("IMPORTRANGE(""https://docs.google.com/spreadsheets/d/1Yj_ptqi66GCucihVvJfMjLAmec39IyEx_6qawtMGysU/edit?usp=sharing"",""สบก!CK74"")"),32250)</f>
        <v>32250</v>
      </c>
      <c r="N275" s="169">
        <f ca="1">IFERROR(__xludf.DUMMYFUNCTION("IMPORTRANGE(""https://docs.google.com/spreadsheets/d/1Yj_ptqi66GCucihVvJfMjLAmec39IyEx_6qawtMGysU/edit?usp=sharing"",""สบก!CL74"")"),19340)</f>
        <v>19340</v>
      </c>
      <c r="O275" s="169">
        <f ca="1">IF(L275&gt;0,N275*100/L275,0)</f>
        <v>35.036231884057969</v>
      </c>
      <c r="P275" s="169">
        <f ca="1">IF(M275&gt;0,N275*100/M275,0)</f>
        <v>59.968992248062015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IFERROR(__xludf.DUMMYFUNCTION("IMPORTRANGE(""https://docs.google.com/spreadsheets/d/1Yj_ptqi66GCucihVvJfMjLAmec39IyEx_6qawtMGysU/edit?usp=sharing"",""สบก!CG74"")"),0)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IFERROR(__xludf.DUMMYFUNCTION("IMPORTRANGE(""https://docs.google.com/spreadsheets/d/1Yj_ptqi66GCucihVvJfMjLAmec39IyEx_6qawtMGysU/edit?usp=sharing"",""สบก!CH74"")"),55200)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IFERROR(__xludf.DUMMYFUNCTION("IMPORTRANGE(""https://docs.google.com/spreadsheets/d/1Yj_ptqi66GCucihVvJfMjLAmec39IyEx_6qawtMGysU/edit?usp=sharing"",""สบก!CI74"")"),0)</f>
        <v>0</v>
      </c>
      <c r="M279" s="49"/>
      <c r="N279" s="49">
        <f ca="1">IFERROR(__xludf.DUMMYFUNCTION("IMPORTRANGE(""https://docs.google.com/spreadsheets/d/1Yj_ptqi66GCucihVvJfMjLAmec39IyEx_6qawtMGysU/edit?usp=sharing"",""สบก!CM74"")"),0)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IFERROR(__xludf.DUMMYFUNCTION("IMPORTRANGE(""https://docs.google.com/spreadsheets/d/1SX6NBoVAgQJ6U1MVXOaj8PK2l7WJ3RER9xtqwdhxkhw/edit?usp=sharing"",""ลพบุรี!J191"")"),0)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IFERROR(__xludf.DUMMYFUNCTION("IMPORTRANGE(""https://docs.google.com/spreadsheets/d/1SX6NBoVAgQJ6U1MVXOaj8PK2l7WJ3RER9xtqwdhxkhw/edit?usp=sharing"",""ลพบุรี!J192"")"),1)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IFERROR(__xludf.DUMMYFUNCTION("IMPORTRANGE(""https://docs.google.com/spreadsheets/d/1SX6NBoVAgQJ6U1MVXOaj8PK2l7WJ3RER9xtqwdhxkhw/edit?usp=sharing"",""ลพบุรี!J193"")"),1)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IFERROR(__xludf.DUMMYFUNCTION("IMPORTRANGE(""https://docs.google.com/spreadsheets/d/1SX6NBoVAgQJ6U1MVXOaj8PK2l7WJ3RER9xtqwdhxkhw/edit?usp=sharing"",""ลพบุรี!J194"")"),1)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IFERROR(__xludf.DUMMYFUNCTION("IMPORTRANGE(""https://docs.google.com/spreadsheets/d/1SX6NBoVAgQJ6U1MVXOaj8PK2l7WJ3RER9xtqwdhxkhw/edit?usp=sharing"",""ลพบุรี!I195"")"),15)</f>
        <v>15</v>
      </c>
      <c r="J285" s="189">
        <f ca="1">IFERROR(__xludf.DUMMYFUNCTION("IMPORTRANGE(""https://docs.google.com/spreadsheets/d/1SX6NBoVAgQJ6U1MVXOaj8PK2l7WJ3RER9xtqwdhxkhw/edit?usp=sharing"",""ลพบุรี!J195"")"),15)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IFERROR(__xludf.DUMMYFUNCTION("IMPORTRANGE(""https://docs.google.com/spreadsheets/d/1SX6NBoVAgQJ6U1MVXOaj8PK2l7WJ3RER9xtqwdhxkhw/edit?usp=sharing"",""ลพบุรี!J196"")"),1)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IFERROR(__xludf.DUMMYFUNCTION("IMPORTRANGE(""https://docs.google.com/spreadsheets/d/1SX6NBoVAgQJ6U1MVXOaj8PK2l7WJ3RER9xtqwdhxkhw/edit?usp=sharing"",""ลพบุรี!J197"")"),0)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IFERROR(__xludf.DUMMYFUNCTION("IMPORTRANGE(""https://docs.google.com/spreadsheets/d/1SX6NBoVAgQJ6U1MVXOaj8PK2l7WJ3RER9xtqwdhxkhw/edit?usp=sharing"",""ลพบุรี!I199"")"),0)</f>
        <v>0</v>
      </c>
      <c r="J289" s="316">
        <f ca="1">IFERROR(__xludf.DUMMYFUNCTION("IMPORTRANGE(""https://docs.google.com/spreadsheets/d/1SX6NBoVAgQJ6U1MVXOaj8PK2l7WJ3RER9xtqwdhxkhw/edit?usp=sharing"",""ลพบุรี!J199"")"),0)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IFERROR(__xludf.DUMMYFUNCTION("IMPORTRANGE(""https://docs.google.com/spreadsheets/d/1Yj_ptqi66GCucihVvJfMjLAmec39IyEx_6qawtMGysU/edit?usp=sharing"",""สบก!CT74"")"),0)</f>
        <v>0</v>
      </c>
      <c r="N294" s="169">
        <f ca="1">IFERROR(__xludf.DUMMYFUNCTION("IMPORTRANGE(""https://docs.google.com/spreadsheets/d/1Yj_ptqi66GCucihVvJfMjLAmec39IyEx_6qawtMGysU/edit?usp=sharing"",""สบก!CU74"")"),0)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IFERROR(__xludf.DUMMYFUNCTION("IMPORTRANGE(""https://docs.google.com/spreadsheets/d/1Yj_ptqi66GCucihVvJfMjLAmec39IyEx_6qawtMGysU/edit?usp=sharing"",""สบก!CP74"")"),0)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IFERROR(__xludf.DUMMYFUNCTION("IMPORTRANGE(""https://docs.google.com/spreadsheets/d/1Yj_ptqi66GCucihVvJfMjLAmec39IyEx_6qawtMGysU/edit?usp=sharing"",""สบก!CQ74"")"),0)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IFERROR(__xludf.DUMMYFUNCTION("IMPORTRANGE(""https://docs.google.com/spreadsheets/d/1Yj_ptqi66GCucihVvJfMjLAmec39IyEx_6qawtMGysU/edit?usp=sharing"",""สบก!CR74"")"),0)</f>
        <v>0</v>
      </c>
      <c r="M298" s="49"/>
      <c r="N298" s="49">
        <f ca="1">IFERROR(__xludf.DUMMYFUNCTION("IMPORTRANGE(""https://docs.google.com/spreadsheets/d/1Yj_ptqi66GCucihVvJfMjLAmec39IyEx_6qawtMGysU/edit?usp=sharing"",""สบก!CV74"")"),0)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IFERROR(__xludf.DUMMYFUNCTION("IMPORTRANGE(""https://docs.google.com/spreadsheets/d/1SX6NBoVAgQJ6U1MVXOaj8PK2l7WJ3RER9xtqwdhxkhw/edit?usp=sharing"",""ลพบุรี!J205"")"),0)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IFERROR(__xludf.DUMMYFUNCTION("IMPORTRANGE(""https://docs.google.com/spreadsheets/d/1SX6NBoVAgQJ6U1MVXOaj8PK2l7WJ3RER9xtqwdhxkhw/edit?usp=sharing"",""ลพบุรี!J206"")"),0)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IFERROR(__xludf.DUMMYFUNCTION("IMPORTRANGE(""https://docs.google.com/spreadsheets/d/1SX6NBoVAgQJ6U1MVXOaj8PK2l7WJ3RER9xtqwdhxkhw/edit?usp=sharing"",""ลพบุรี!J207"")"),0)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IFERROR(__xludf.DUMMYFUNCTION("IMPORTRANGE(""https://docs.google.com/spreadsheets/d/1SX6NBoVAgQJ6U1MVXOaj8PK2l7WJ3RER9xtqwdhxkhw/edit?usp=sharing"",""ลพบุรี!J208"")"),0)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IFERROR(__xludf.DUMMYFUNCTION("IMPORTRANGE(""https://docs.google.com/spreadsheets/d/1SX6NBoVAgQJ6U1MVXOaj8PK2l7WJ3RER9xtqwdhxkhw/edit?usp=sharing"",""ลพบุรี!I209"")"),0)</f>
        <v>0</v>
      </c>
      <c r="J304" s="204">
        <f ca="1">IFERROR(__xludf.DUMMYFUNCTION("IMPORTRANGE(""https://docs.google.com/spreadsheets/d/1SX6NBoVAgQJ6U1MVXOaj8PK2l7WJ3RER9xtqwdhxkhw/edit?usp=sharing"",""ลพบุรี!J209"")"),0)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IFERROR(__xludf.DUMMYFUNCTION("IMPORTRANGE(""https://docs.google.com/spreadsheets/d/1SX6NBoVAgQJ6U1MVXOaj8PK2l7WJ3RER9xtqwdhxkhw/edit?usp=sharing"",""ลพบุรี!I211"")"),0)</f>
        <v>0</v>
      </c>
      <c r="J306" s="204">
        <f ca="1">IFERROR(__xludf.DUMMYFUNCTION("IMPORTRANGE(""https://docs.google.com/spreadsheets/d/1SX6NBoVAgQJ6U1MVXOaj8PK2l7WJ3RER9xtqwdhxkhw/edit?usp=sharing"",""ลพบุรี!J211"")"),0)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IFERROR(__xludf.DUMMYFUNCTION("IMPORTRANGE(""https://docs.google.com/spreadsheets/d/1SX6NBoVAgQJ6U1MVXOaj8PK2l7WJ3RER9xtqwdhxkhw/edit?usp=sharing"",""ลพบุรี!J212"")"),0)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IFERROR(__xludf.DUMMYFUNCTION("IMPORTRANGE(""https://docs.google.com/spreadsheets/d/1SX6NBoVAgQJ6U1MVXOaj8PK2l7WJ3RER9xtqwdhxkhw/edit?usp=sharing"",""ลพบุรี!J213"")"),0)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IFERROR(__xludf.DUMMYFUNCTION("IMPORTRANGE(""https://docs.google.com/spreadsheets/d/1SX6NBoVAgQJ6U1MVXOaj8PK2l7WJ3RER9xtqwdhxkhw/edit?usp=sharing"",""ลพบุรี!I214"")"),0)</f>
        <v>0</v>
      </c>
      <c r="J309" s="333">
        <f ca="1">IFERROR(__xludf.DUMMYFUNCTION("IMPORTRANGE(""https://docs.google.com/spreadsheets/d/1SX6NBoVAgQJ6U1MVXOaj8PK2l7WJ3RER9xtqwdhxkhw/edit?usp=sharing"",""ลพบุรี!J214"")"),0)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IFERROR(__xludf.DUMMYFUNCTION("IMPORTRANGE(""https://docs.google.com/spreadsheets/d/1Yj_ptqi66GCucihVvJfMjLAmec39IyEx_6qawtMGysU/edit?usp=sharing"",""สบก!DC74"")"),0)</f>
        <v>0</v>
      </c>
      <c r="N314" s="169">
        <f ca="1">IFERROR(__xludf.DUMMYFUNCTION("IMPORTRANGE(""https://docs.google.com/spreadsheets/d/1Yj_ptqi66GCucihVvJfMjLAmec39IyEx_6qawtMGysU/edit?usp=sharing"",""สบก!DD74"")"),0)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IFERROR(__xludf.DUMMYFUNCTION("IMPORTRANGE(""https://docs.google.com/spreadsheets/d/1Yj_ptqi66GCucihVvJfMjLAmec39IyEx_6qawtMGysU/edit?usp=sharing"",""สบก!CY74"")"),0)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IFERROR(__xludf.DUMMYFUNCTION("IMPORTRANGE(""https://docs.google.com/spreadsheets/d/1Yj_ptqi66GCucihVvJfMjLAmec39IyEx_6qawtMGysU/edit?usp=sharing"",""สบก!CZ74"")"),0)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IFERROR(__xludf.DUMMYFUNCTION("IMPORTRANGE(""https://docs.google.com/spreadsheets/d/1Yj_ptqi66GCucihVvJfMjLAmec39IyEx_6qawtMGysU/edit?usp=sharing"",""สบก!DA74"")"),0)</f>
        <v>0</v>
      </c>
      <c r="M318" s="49"/>
      <c r="N318" s="49">
        <f ca="1">IFERROR(__xludf.DUMMYFUNCTION("IMPORTRANGE(""https://docs.google.com/spreadsheets/d/1Yj_ptqi66GCucihVvJfMjLAmec39IyEx_6qawtMGysU/edit?usp=sharing"",""สบก!DE74"")"),0)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IFERROR(__xludf.DUMMYFUNCTION("IMPORTRANGE(""https://docs.google.com/spreadsheets/d/1SX6NBoVAgQJ6U1MVXOaj8PK2l7WJ3RER9xtqwdhxkhw/edit?usp=sharing"",""ลพบุรี!J220"")"),0)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IFERROR(__xludf.DUMMYFUNCTION("IMPORTRANGE(""https://docs.google.com/spreadsheets/d/1SX6NBoVAgQJ6U1MVXOaj8PK2l7WJ3RER9xtqwdhxkhw/edit?usp=sharing"",""ลพบุรี!J221"")"),0)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IFERROR(__xludf.DUMMYFUNCTION("IMPORTRANGE(""https://docs.google.com/spreadsheets/d/1SX6NBoVAgQJ6U1MVXOaj8PK2l7WJ3RER9xtqwdhxkhw/edit?usp=sharing"",""ลพบุรี!J222"")"),0)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IFERROR(__xludf.DUMMYFUNCTION("IMPORTRANGE(""https://docs.google.com/spreadsheets/d/1SX6NBoVAgQJ6U1MVXOaj8PK2l7WJ3RER9xtqwdhxkhw/edit?usp=sharing"",""ลพบุรี!J223"")"),0)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IFERROR(__xludf.DUMMYFUNCTION("IMPORTRANGE(""https://docs.google.com/spreadsheets/d/1SX6NBoVAgQJ6U1MVXOaj8PK2l7WJ3RER9xtqwdhxkhw/edit?usp=sharing"",""ลพบุรี!I224"")"),0)</f>
        <v>0</v>
      </c>
      <c r="J324" s="204">
        <f ca="1">IFERROR(__xludf.DUMMYFUNCTION("IMPORTRANGE(""https://docs.google.com/spreadsheets/d/1SX6NBoVAgQJ6U1MVXOaj8PK2l7WJ3RER9xtqwdhxkhw/edit?usp=sharing"",""ลพบุรี!J224"")"),0)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IFERROR(__xludf.DUMMYFUNCTION("IMPORTRANGE(""https://docs.google.com/spreadsheets/d/1SX6NBoVAgQJ6U1MVXOaj8PK2l7WJ3RER9xtqwdhxkhw/edit?usp=sharing"",""ลพบุรี!J225"")"),0)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IFERROR(__xludf.DUMMYFUNCTION("IMPORTRANGE(""https://docs.google.com/spreadsheets/d/1SX6NBoVAgQJ6U1MVXOaj8PK2l7WJ3RER9xtqwdhxkhw/edit?usp=sharing"",""ลพบุรี!J226"")"),0)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IFERROR(__xludf.DUMMYFUNCTION("IMPORTRANGE(""https://docs.google.com/spreadsheets/d/1SX6NBoVAgQJ6U1MVXOaj8PK2l7WJ3RER9xtqwdhxkhw/edit?usp=sharing"",""ลพบุรี!I228"")"),170)</f>
        <v>170</v>
      </c>
      <c r="J328" s="339">
        <f ca="1">IFERROR(__xludf.DUMMYFUNCTION("IMPORTRANGE(""https://docs.google.com/spreadsheets/d/1SX6NBoVAgQJ6U1MVXOaj8PK2l7WJ3RER9xtqwdhxkhw/edit?usp=sharing"",""ลพบุรี!J228"")"),73)</f>
        <v>73</v>
      </c>
      <c r="K328" s="317">
        <f ca="1">IF(I328&gt;0,J328*100/I328,0)</f>
        <v>42.941176470588232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960550</v>
      </c>
      <c r="M329" s="152">
        <f t="shared" ca="1" si="98"/>
        <v>689280</v>
      </c>
      <c r="N329" s="152">
        <f t="shared" ca="1" si="98"/>
        <v>397944</v>
      </c>
      <c r="O329" s="151">
        <f t="shared" ref="O329:O331" ca="1" si="99">IF(L329&gt;0,N329*100/L329,0)</f>
        <v>41.428764770183747</v>
      </c>
      <c r="P329" s="151">
        <f t="shared" ref="P329:P331" ca="1" si="100">IF(M329&gt;0,N329*100/M329,0)</f>
        <v>57.733286908077993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960550</v>
      </c>
      <c r="M331" s="157">
        <f t="shared" ca="1" si="102"/>
        <v>689280</v>
      </c>
      <c r="N331" s="157">
        <f t="shared" ca="1" si="102"/>
        <v>397944</v>
      </c>
      <c r="O331" s="156">
        <f t="shared" ca="1" si="99"/>
        <v>41.428764770183747</v>
      </c>
      <c r="P331" s="156">
        <f t="shared" ca="1" si="100"/>
        <v>57.733286908077993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960550</v>
      </c>
      <c r="M333" s="168">
        <f ca="1">IFERROR(__xludf.DUMMYFUNCTION("IMPORTRANGE(""https://docs.google.com/spreadsheets/d/1Yj_ptqi66GCucihVvJfMjLAmec39IyEx_6qawtMGysU/edit?usp=sharing"",""สบก!DL74"")"),689280)</f>
        <v>689280</v>
      </c>
      <c r="N333" s="169">
        <f ca="1">IFERROR(__xludf.DUMMYFUNCTION("IMPORTRANGE(""https://docs.google.com/spreadsheets/d/1Yj_ptqi66GCucihVvJfMjLAmec39IyEx_6qawtMGysU/edit?usp=sharing"",""สบก!DM74"")"),397944)</f>
        <v>397944</v>
      </c>
      <c r="O333" s="169">
        <f ca="1">IF(L333&gt;0,N333*100/L333,0)</f>
        <v>41.428764770183747</v>
      </c>
      <c r="P333" s="169">
        <f ca="1">IF(M333&gt;0,N333*100/M333,0)</f>
        <v>57.733286908077993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IFERROR(__xludf.DUMMYFUNCTION("IMPORTRANGE(""https://docs.google.com/spreadsheets/d/1Yj_ptqi66GCucihVvJfMjLAmec39IyEx_6qawtMGysU/edit?usp=sharing"",""สบก!DH74"")"),500400)</f>
        <v>500400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IFERROR(__xludf.DUMMYFUNCTION("IMPORTRANGE(""https://docs.google.com/spreadsheets/d/1Yj_ptqi66GCucihVvJfMjLAmec39IyEx_6qawtMGysU/edit?usp=sharing"",""สบก!DI74"")"),460150)</f>
        <v>460150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IFERROR(__xludf.DUMMYFUNCTION("IMPORTRANGE(""https://docs.google.com/spreadsheets/d/1Yj_ptqi66GCucihVvJfMjLAmec39IyEx_6qawtMGysU/edit?usp=sharing"",""สบก!DJ74"")"),0)</f>
        <v>0</v>
      </c>
      <c r="M337" s="49"/>
      <c r="N337" s="49">
        <f ca="1">IFERROR(__xludf.DUMMYFUNCTION("IMPORTRANGE(""https://docs.google.com/spreadsheets/d/1Yj_ptqi66GCucihVvJfMjLAmec39IyEx_6qawtMGysU/edit?usp=sharing"",""สบก!DN74"")"),0)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IFERROR(__xludf.DUMMYFUNCTION("IMPORTRANGE(""https://docs.google.com/spreadsheets/d/1SX6NBoVAgQJ6U1MVXOaj8PK2l7WJ3RER9xtqwdhxkhw/edit?usp=sharing"",""ลพบุรี!I234"")"),0)</f>
        <v>0</v>
      </c>
      <c r="J339" s="188">
        <f ca="1">IFERROR(__xludf.DUMMYFUNCTION("IMPORTRANGE(""https://docs.google.com/spreadsheets/d/1SX6NBoVAgQJ6U1MVXOaj8PK2l7WJ3RER9xtqwdhxkhw/edit?usp=sharing"",""ลพบุรี!J234"")"),136)</f>
        <v>136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IFERROR(__xludf.DUMMYFUNCTION("IMPORTRANGE(""https://docs.google.com/spreadsheets/d/1SX6NBoVAgQJ6U1MVXOaj8PK2l7WJ3RER9xtqwdhxkhw/edit?usp=sharing"",""ลพบุรี!I235"")"),3250)</f>
        <v>3250</v>
      </c>
      <c r="J340" s="188">
        <f ca="1">IFERROR(__xludf.DUMMYFUNCTION("IMPORTRANGE(""https://docs.google.com/spreadsheets/d/1SX6NBoVAgQJ6U1MVXOaj8PK2l7WJ3RER9xtqwdhxkhw/edit?usp=sharing"",""ลพบุรี!J235"")"),1460.05)</f>
        <v>1460.05</v>
      </c>
      <c r="K340" s="342">
        <f t="shared" ca="1" si="103"/>
        <v>44.924615384615386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IFERROR(__xludf.DUMMYFUNCTION("IMPORTRANGE(""https://docs.google.com/spreadsheets/d/1SX6NBoVAgQJ6U1MVXOaj8PK2l7WJ3RER9xtqwdhxkhw/edit?usp=sharing"",""ลพบุรี!I236"")"),170)</f>
        <v>170</v>
      </c>
      <c r="J341" s="188">
        <f ca="1">IFERROR(__xludf.DUMMYFUNCTION("IMPORTRANGE(""https://docs.google.com/spreadsheets/d/1SX6NBoVAgQJ6U1MVXOaj8PK2l7WJ3RER9xtqwdhxkhw/edit?usp=sharing"",""ลพบุรี!J236"")"),162)</f>
        <v>162</v>
      </c>
      <c r="K341" s="342">
        <f t="shared" ca="1" si="103"/>
        <v>95.294117647058826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IFERROR(__xludf.DUMMYFUNCTION("IMPORTRANGE(""https://docs.google.com/spreadsheets/d/1SX6NBoVAgQJ6U1MVXOaj8PK2l7WJ3RER9xtqwdhxkhw/edit?usp=sharing"",""ลพบุรี!I237"")"),0)</f>
        <v>0</v>
      </c>
      <c r="J342" s="188">
        <f ca="1">IFERROR(__xludf.DUMMYFUNCTION("IMPORTRANGE(""https://docs.google.com/spreadsheets/d/1SX6NBoVAgQJ6U1MVXOaj8PK2l7WJ3RER9xtqwdhxkhw/edit?usp=sharing"",""ลพบุรี!J237"")"),2140.52)</f>
        <v>2140.52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IFERROR(__xludf.DUMMYFUNCTION("IMPORTRANGE(""https://docs.google.com/spreadsheets/d/1SX6NBoVAgQJ6U1MVXOaj8PK2l7WJ3RER9xtqwdhxkhw/edit?usp=sharing"",""ลพบุรี!I238"")"),170)</f>
        <v>170</v>
      </c>
      <c r="J343" s="188">
        <f ca="1">IFERROR(__xludf.DUMMYFUNCTION("IMPORTRANGE(""https://docs.google.com/spreadsheets/d/1SX6NBoVAgQJ6U1MVXOaj8PK2l7WJ3RER9xtqwdhxkhw/edit?usp=sharing"",""ลพบุรี!J238"")"),35)</f>
        <v>35</v>
      </c>
      <c r="K343" s="342">
        <f t="shared" ca="1" si="103"/>
        <v>20.588235294117649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IFERROR(__xludf.DUMMYFUNCTION("IMPORTRANGE(""https://docs.google.com/spreadsheets/d/1SX6NBoVAgQJ6U1MVXOaj8PK2l7WJ3RER9xtqwdhxkhw/edit?usp=sharing"",""ลพบุรี!I239"")"),0)</f>
        <v>0</v>
      </c>
      <c r="J344" s="188">
        <f ca="1">IFERROR(__xludf.DUMMYFUNCTION("IMPORTRANGE(""https://docs.google.com/spreadsheets/d/1SX6NBoVAgQJ6U1MVXOaj8PK2l7WJ3RER9xtqwdhxkhw/edit?usp=sharing"",""ลพบุรี!J239"")"),425.6)</f>
        <v>425.6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IFERROR(__xludf.DUMMYFUNCTION("IMPORTRANGE(""https://docs.google.com/spreadsheets/d/1SX6NBoVAgQJ6U1MVXOaj8PK2l7WJ3RER9xtqwdhxkhw/edit?usp=sharing"",""ลพบุรี!I240"")"),170)</f>
        <v>170</v>
      </c>
      <c r="J345" s="188">
        <f ca="1">IFERROR(__xludf.DUMMYFUNCTION("IMPORTRANGE(""https://docs.google.com/spreadsheets/d/1SX6NBoVAgQJ6U1MVXOaj8PK2l7WJ3RER9xtqwdhxkhw/edit?usp=sharing"",""ลพบุรี!J240"")"),73)</f>
        <v>73</v>
      </c>
      <c r="K345" s="342">
        <f t="shared" ca="1" si="103"/>
        <v>42.941176470588232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IFERROR(__xludf.DUMMYFUNCTION("IMPORTRANGE(""https://docs.google.com/spreadsheets/d/1SX6NBoVAgQJ6U1MVXOaj8PK2l7WJ3RER9xtqwdhxkhw/edit?usp=sharing"",""ลพบุรี!I241"")"),0)</f>
        <v>0</v>
      </c>
      <c r="J346" s="188">
        <f ca="1">IFERROR(__xludf.DUMMYFUNCTION("IMPORTRANGE(""https://docs.google.com/spreadsheets/d/1SX6NBoVAgQJ6U1MVXOaj8PK2l7WJ3RER9xtqwdhxkhw/edit?usp=sharing"",""ลพบุรี!J241"")"),1094.12)</f>
        <v>1094.1199999999999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IFERROR(__xludf.DUMMYFUNCTION("IMPORTRANGE(""https://docs.google.com/spreadsheets/d/1SX6NBoVAgQJ6U1MVXOaj8PK2l7WJ3RER9xtqwdhxkhw/edit?usp=sharing"",""ลพบุรี!L242"")"),2555401)</f>
        <v>2555401</v>
      </c>
      <c r="M347" s="358"/>
      <c r="N347" s="358">
        <f ca="1">IFERROR(__xludf.DUMMYFUNCTION("IMPORTRANGE(""https://docs.google.com/spreadsheets/d/1SX6NBoVAgQJ6U1MVXOaj8PK2l7WJ3RER9xtqwdhxkhw/edit?usp=sharing"",""ลพบุรี!M242"")"),731706.15)</f>
        <v>731706.15</v>
      </c>
      <c r="O347" s="358">
        <f ca="1">+IF(L347&gt;0,N347*100/L347,0)</f>
        <v>28.633711499682438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IFERROR(__xludf.DUMMYFUNCTION("IMPORTRANGE(""https://docs.google.com/spreadsheets/d/1SX6NBoVAgQJ6U1MVXOaj8PK2l7WJ3RER9xtqwdhxkhw/edit?usp=sharing"",""ลพบุรี!I244"")"),60)</f>
        <v>60</v>
      </c>
      <c r="J349" s="371">
        <f ca="1">IFERROR(__xludf.DUMMYFUNCTION("IMPORTRANGE(""https://docs.google.com/spreadsheets/d/1SX6NBoVAgQJ6U1MVXOaj8PK2l7WJ3RER9xtqwdhxkhw/edit?usp=sharing"",""ลพบุรี!J244"")"),0)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IFERROR(__xludf.DUMMYFUNCTION("IMPORTRANGE(""https://docs.google.com/spreadsheets/d/1SX6NBoVAgQJ6U1MVXOaj8PK2l7WJ3RER9xtqwdhxkhw/edit?usp=sharing"",""ลพบุรี!L244"")"),289160)</f>
        <v>289160</v>
      </c>
      <c r="M349" s="373"/>
      <c r="N349" s="373">
        <f ca="1">IFERROR(__xludf.DUMMYFUNCTION("IMPORTRANGE(""https://docs.google.com/spreadsheets/d/1SX6NBoVAgQJ6U1MVXOaj8PK2l7WJ3RER9xtqwdhxkhw/edit?usp=sharing"",""ลพบุรี!M244"")"),111118)</f>
        <v>111118</v>
      </c>
      <c r="O349" s="373">
        <f ca="1">+IF(L349&gt;0,N349*100/L349,0)</f>
        <v>38.427860008299902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IFERROR(__xludf.DUMMYFUNCTION("IMPORTRANGE(""https://docs.google.com/spreadsheets/d/1SX6NBoVAgQJ6U1MVXOaj8PK2l7WJ3RER9xtqwdhxkhw/edit?usp=sharing"",""ลพบุรี!I245"")"),40)</f>
        <v>40</v>
      </c>
      <c r="J350" s="371">
        <f ca="1">IFERROR(__xludf.DUMMYFUNCTION("IMPORTRANGE(""https://docs.google.com/spreadsheets/d/1SX6NBoVAgQJ6U1MVXOaj8PK2l7WJ3RER9xtqwdhxkhw/edit?usp=sharing"",""ลพบุรี!J245"")"),40)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IFERROR(__xludf.DUMMYFUNCTION("IMPORTRANGE(""https://docs.google.com/spreadsheets/d/1SX6NBoVAgQJ6U1MVXOaj8PK2l7WJ3RER9xtqwdhxkhw/edit?usp=sharing"",""ลพบุรี!L246"")"),0)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IFERROR(__xludf.DUMMYFUNCTION("IMPORTRANGE(""https://docs.google.com/spreadsheets/d/1SX6NBoVAgQJ6U1MVXOaj8PK2l7WJ3RER9xtqwdhxkhw/edit?usp=sharing"",""ลพบุรี!M246"")"),0)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IFERROR(__xludf.DUMMYFUNCTION("IMPORTRANGE(""https://docs.google.com/spreadsheets/d/1SX6NBoVAgQJ6U1MVXOaj8PK2l7WJ3RER9xtqwdhxkhw/edit?usp=sharing"",""ลพบุรี!L247"")"),289160)</f>
        <v>289160</v>
      </c>
      <c r="M352" s="165"/>
      <c r="N352" s="164">
        <f ca="1">IFERROR(__xludf.DUMMYFUNCTION("IMPORTRANGE(""https://docs.google.com/spreadsheets/d/1SX6NBoVAgQJ6U1MVXOaj8PK2l7WJ3RER9xtqwdhxkhw/edit?usp=sharing"",""ลพบุรี!M247"")"),111118)</f>
        <v>111118</v>
      </c>
      <c r="O352" s="165">
        <f t="shared" ca="1" si="105"/>
        <v>38.427860008299902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IFERROR(__xludf.DUMMYFUNCTION("IMPORTRANGE(""https://docs.google.com/spreadsheets/d/1SX6NBoVAgQJ6U1MVXOaj8PK2l7WJ3RER9xtqwdhxkhw/edit?usp=sharing"",""ลพบุรี!L248"")"),0)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IFERROR(__xludf.DUMMYFUNCTION("IMPORTRANGE(""https://docs.google.com/spreadsheets/d/1SX6NBoVAgQJ6U1MVXOaj8PK2l7WJ3RER9xtqwdhxkhw/edit?usp=sharing"",""ลพบุรี!M248"")"),0)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IFERROR(__xludf.DUMMYFUNCTION("IMPORTRANGE(""https://docs.google.com/spreadsheets/d/1SX6NBoVAgQJ6U1MVXOaj8PK2l7WJ3RER9xtqwdhxkhw/edit?usp=sharing"",""ลพบุรี!L249"")"),289160)</f>
        <v>289160</v>
      </c>
      <c r="M354" s="169"/>
      <c r="N354" s="168">
        <f ca="1">IFERROR(__xludf.DUMMYFUNCTION("IMPORTRANGE(""https://docs.google.com/spreadsheets/d/1SX6NBoVAgQJ6U1MVXOaj8PK2l7WJ3RER9xtqwdhxkhw/edit?usp=sharing"",""ลพบุรี!M249"")"),111118)</f>
        <v>111118</v>
      </c>
      <c r="O354" s="169">
        <f t="shared" ca="1" si="105"/>
        <v>38.427860008299902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IFERROR(__xludf.DUMMYFUNCTION("IMPORTRANGE(""https://docs.google.com/spreadsheets/d/1SX6NBoVAgQJ6U1MVXOaj8PK2l7WJ3RER9xtqwdhxkhw/edit?usp=sharing"",""ลพบุรี!M250"")"),50400)</f>
        <v>50400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IFERROR(__xludf.DUMMYFUNCTION("IMPORTRANGE(""https://docs.google.com/spreadsheets/d/1SX6NBoVAgQJ6U1MVXOaj8PK2l7WJ3RER9xtqwdhxkhw/edit?usp=sharing"",""ลพบุรี!M251"")"),0)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IFERROR(__xludf.DUMMYFUNCTION("IMPORTRANGE(""https://docs.google.com/spreadsheets/d/1SX6NBoVAgQJ6U1MVXOaj8PK2l7WJ3RER9xtqwdhxkhw/edit?usp=sharing"",""ลพบุรี!M252"")"),48218)</f>
        <v>48218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IFERROR(__xludf.DUMMYFUNCTION("IMPORTRANGE(""https://docs.google.com/spreadsheets/d/1SX6NBoVAgQJ6U1MVXOaj8PK2l7WJ3RER9xtqwdhxkhw/edit?usp=sharing"",""ลพบุรี!M253"")"),12500)</f>
        <v>12500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IFERROR(__xludf.DUMMYFUNCTION("IMPORTRANGE(""https://docs.google.com/spreadsheets/d/1SX6NBoVAgQJ6U1MVXOaj8PK2l7WJ3RER9xtqwdhxkhw/edit?usp=sharing"",""ลพบุรี!J255"")"),0)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IFERROR(__xludf.DUMMYFUNCTION("IMPORTRANGE(""https://docs.google.com/spreadsheets/d/1SX6NBoVAgQJ6U1MVXOaj8PK2l7WJ3RER9xtqwdhxkhw/edit?usp=sharing"",""ลพบุรี!J256"")"),0)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IFERROR(__xludf.DUMMYFUNCTION("IMPORTRANGE(""https://docs.google.com/spreadsheets/d/1SX6NBoVAgQJ6U1MVXOaj8PK2l7WJ3RER9xtqwdhxkhw/edit?usp=sharing"",""ลพบุรี!J257"")"),1)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IFERROR(__xludf.DUMMYFUNCTION("IMPORTRANGE(""https://docs.google.com/spreadsheets/d/1SX6NBoVAgQJ6U1MVXOaj8PK2l7WJ3RER9xtqwdhxkhw/edit?usp=sharing"",""ลพบุรี!J258"")"),1)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IFERROR(__xludf.DUMMYFUNCTION("IMPORTRANGE(""https://docs.google.com/spreadsheets/d/1SX6NBoVAgQJ6U1MVXOaj8PK2l7WJ3RER9xtqwdhxkhw/edit?usp=sharing"",""ลพบุรี!J166"")"),0)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IFERROR(__xludf.DUMMYFUNCTION("IMPORTRANGE(""https://docs.google.com/spreadsheets/d/1SX6NBoVAgQJ6U1MVXOaj8PK2l7WJ3RER9xtqwdhxkhw/edit?usp=sharing"",""ลพบุรี!J166"")"),0)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IFERROR(__xludf.DUMMYFUNCTION("IMPORTRANGE(""https://docs.google.com/spreadsheets/d/1SX6NBoVAgQJ6U1MVXOaj8PK2l7WJ3RER9xtqwdhxkhw/edit?usp=sharing"",""ลพบุรี!J166"")"),0)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IFERROR(__xludf.DUMMYFUNCTION("IMPORTRANGE(""https://docs.google.com/spreadsheets/d/1SX6NBoVAgQJ6U1MVXOaj8PK2l7WJ3RER9xtqwdhxkhw/edit?usp=sharing"",""ลพบุรี!J166"")"),0)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IFERROR(__xludf.DUMMYFUNCTION("IMPORTRANGE(""https://docs.google.com/spreadsheets/d/1SX6NBoVAgQJ6U1MVXOaj8PK2l7WJ3RER9xtqwdhxkhw/edit?usp=sharing"",""ลพบุรี!I263"")"),40)</f>
        <v>40</v>
      </c>
      <c r="J368" s="188">
        <f ca="1">IFERROR(__xludf.DUMMYFUNCTION("IMPORTRANGE(""https://docs.google.com/spreadsheets/d/1SX6NBoVAgQJ6U1MVXOaj8PK2l7WJ3RER9xtqwdhxkhw/edit?usp=sharing"",""ลพบุรี!J263"")"),40)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IFERROR(__xludf.DUMMYFUNCTION("IMPORTRANGE(""https://docs.google.com/spreadsheets/d/1SX6NBoVAgQJ6U1MVXOaj8PK2l7WJ3RER9xtqwdhxkhw/edit?usp=sharing"",""ลพบุรี!I164"")"),0)</f>
        <v>0</v>
      </c>
      <c r="J369" s="204">
        <f ca="1">IFERROR(__xludf.DUMMYFUNCTION("IMPORTRANGE(""https://docs.google.com/spreadsheets/d/1SX6NBoVAgQJ6U1MVXOaj8PK2l7WJ3RER9xtqwdhxkhw/edit?usp=sharing"",""ลพบุรี!J164"")"),0)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IFERROR(__xludf.DUMMYFUNCTION("IMPORTRANGE(""https://docs.google.com/spreadsheets/d/1SX6NBoVAgQJ6U1MVXOaj8PK2l7WJ3RER9xtqwdhxkhw/edit?usp=sharing"",""ลพบุรี!I265"")"),40)</f>
        <v>40</v>
      </c>
      <c r="J370" s="204">
        <f ca="1">IFERROR(__xludf.DUMMYFUNCTION("IMPORTRANGE(""https://docs.google.com/spreadsheets/d/1SX6NBoVAgQJ6U1MVXOaj8PK2l7WJ3RER9xtqwdhxkhw/edit?usp=sharing"",""ลพบุรี!J265"")"),20)</f>
        <v>20</v>
      </c>
      <c r="K370" s="163">
        <f t="shared" ca="1" si="106"/>
        <v>50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IFERROR(__xludf.DUMMYFUNCTION("IMPORTRANGE(""https://docs.google.com/spreadsheets/d/1SX6NBoVAgQJ6U1MVXOaj8PK2l7WJ3RER9xtqwdhxkhw/edit?usp=sharing"",""ลพบุรี!I164"")"),0)</f>
        <v>0</v>
      </c>
      <c r="J371" s="189">
        <f ca="1">IFERROR(__xludf.DUMMYFUNCTION("IMPORTRANGE(""https://docs.google.com/spreadsheets/d/1SX6NBoVAgQJ6U1MVXOaj8PK2l7WJ3RER9xtqwdhxkhw/edit?usp=sharing"",""ลพบุรี!J164"")"),0)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IFERROR(__xludf.DUMMYFUNCTION("IMPORTRANGE(""https://docs.google.com/spreadsheets/d/1SX6NBoVAgQJ6U1MVXOaj8PK2l7WJ3RER9xtqwdhxkhw/edit?usp=sharing"",""ลพบุรี!I267"")"),40)</f>
        <v>40</v>
      </c>
      <c r="J372" s="189">
        <f ca="1">IFERROR(__xludf.DUMMYFUNCTION("IMPORTRANGE(""https://docs.google.com/spreadsheets/d/1SX6NBoVAgQJ6U1MVXOaj8PK2l7WJ3RER9xtqwdhxkhw/edit?usp=sharing"",""ลพบุรี!J267"")"),20)</f>
        <v>20</v>
      </c>
      <c r="K372" s="163">
        <f t="shared" ca="1" si="106"/>
        <v>50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IFERROR(__xludf.DUMMYFUNCTION("IMPORTRANGE(""https://docs.google.com/spreadsheets/d/1SX6NBoVAgQJ6U1MVXOaj8PK2l7WJ3RER9xtqwdhxkhw/edit?usp=sharing"",""ลพบุรี!I164"")"),0)</f>
        <v>0</v>
      </c>
      <c r="J373" s="204">
        <f ca="1">IFERROR(__xludf.DUMMYFUNCTION("IMPORTRANGE(""https://docs.google.com/spreadsheets/d/1SX6NBoVAgQJ6U1MVXOaj8PK2l7WJ3RER9xtqwdhxkhw/edit?usp=sharing"",""ลพบุรี!J164"")"),0)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IFERROR(__xludf.DUMMYFUNCTION("IMPORTRANGE(""https://docs.google.com/spreadsheets/d/1SX6NBoVAgQJ6U1MVXOaj8PK2l7WJ3RER9xtqwdhxkhw/edit?usp=sharing"",""ลพบุรี!I164"")"),0)</f>
        <v>0</v>
      </c>
      <c r="J374" s="188">
        <f ca="1">IFERROR(__xludf.DUMMYFUNCTION("IMPORTRANGE(""https://docs.google.com/spreadsheets/d/1SX6NBoVAgQJ6U1MVXOaj8PK2l7WJ3RER9xtqwdhxkhw/edit?usp=sharing"",""ลพบุรี!J164"")"),0)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IFERROR(__xludf.DUMMYFUNCTION("IMPORTRANGE(""https://docs.google.com/spreadsheets/d/1SX6NBoVAgQJ6U1MVXOaj8PK2l7WJ3RER9xtqwdhxkhw/edit?usp=sharing"",""ลพบุรี!I270"")"),60)</f>
        <v>60</v>
      </c>
      <c r="J375" s="188">
        <f ca="1">IFERROR(__xludf.DUMMYFUNCTION("IMPORTRANGE(""https://docs.google.com/spreadsheets/d/1SX6NBoVAgQJ6U1MVXOaj8PK2l7WJ3RER9xtqwdhxkhw/edit?usp=sharing"",""ลพบุรี!J270"")"),0)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IFERROR(__xludf.DUMMYFUNCTION("IMPORTRANGE(""https://docs.google.com/spreadsheets/d/1SX6NBoVAgQJ6U1MVXOaj8PK2l7WJ3RER9xtqwdhxkhw/edit?usp=sharing"",""ลพบุรี!I271"")"),30)</f>
        <v>30</v>
      </c>
      <c r="J376" s="189">
        <f ca="1">IFERROR(__xludf.DUMMYFUNCTION("IMPORTRANGE(""https://docs.google.com/spreadsheets/d/1SX6NBoVAgQJ6U1MVXOaj8PK2l7WJ3RER9xtqwdhxkhw/edit?usp=sharing"",""ลพบุรี!J271"")"),0)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IFERROR(__xludf.DUMMYFUNCTION("IMPORTRANGE(""https://docs.google.com/spreadsheets/d/1SX6NBoVAgQJ6U1MVXOaj8PK2l7WJ3RER9xtqwdhxkhw/edit?usp=sharing"",""ลพบุรี!I272"")"),30)</f>
        <v>30</v>
      </c>
      <c r="J377" s="204">
        <f ca="1">IFERROR(__xludf.DUMMYFUNCTION("IMPORTRANGE(""https://docs.google.com/spreadsheets/d/1SX6NBoVAgQJ6U1MVXOaj8PK2l7WJ3RER9xtqwdhxkhw/edit?usp=sharing"",""ลพบุรี!J272"")"),0)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IFERROR(__xludf.DUMMYFUNCTION("IMPORTRANGE(""https://docs.google.com/spreadsheets/d/1SX6NBoVAgQJ6U1MVXOaj8PK2l7WJ3RER9xtqwdhxkhw/edit?usp=sharing"",""ลพบุรี!J273"")"),1)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IFERROR(__xludf.DUMMYFUNCTION("IMPORTRANGE(""https://docs.google.com/spreadsheets/d/1SX6NBoVAgQJ6U1MVXOaj8PK2l7WJ3RER9xtqwdhxkhw/edit?usp=sharing"",""ลพบุรี!J274"")"),0)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IFERROR(__xludf.DUMMYFUNCTION("IMPORTRANGE(""https://docs.google.com/spreadsheets/d/1SX6NBoVAgQJ6U1MVXOaj8PK2l7WJ3RER9xtqwdhxkhw/edit?usp=sharing"",""ลพบุรี!I275"")"),1000)</f>
        <v>1000</v>
      </c>
      <c r="J380" s="371">
        <f ca="1">IFERROR(__xludf.DUMMYFUNCTION("IMPORTRANGE(""https://docs.google.com/spreadsheets/d/1SX6NBoVAgQJ6U1MVXOaj8PK2l7WJ3RER9xtqwdhxkhw/edit?usp=sharing"",""ลพบุรี!J275"")"),0)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IFERROR(__xludf.DUMMYFUNCTION("IMPORTRANGE(""https://docs.google.com/spreadsheets/d/1SX6NBoVAgQJ6U1MVXOaj8PK2l7WJ3RER9xtqwdhxkhw/edit?usp=sharing"",""ลพบุรี!L275"")"),1028520)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IFERROR(__xludf.DUMMYFUNCTION("IMPORTRANGE(""https://docs.google.com/spreadsheets/d/1SX6NBoVAgQJ6U1MVXOaj8PK2l7WJ3RER9xtqwdhxkhw/edit?usp=sharing"",""ลพบุรี!M275"")"),243805)</f>
        <v>243805</v>
      </c>
      <c r="O380" s="373">
        <f ca="1">+IF(L380&gt;0,N380*100/L380,0)</f>
        <v>23.704449111344456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IFERROR(__xludf.DUMMYFUNCTION("IMPORTRANGE(""https://docs.google.com/spreadsheets/d/1SX6NBoVAgQJ6U1MVXOaj8PK2l7WJ3RER9xtqwdhxkhw/edit?usp=sharing"",""ลพบุรี!I276"")"),100)</f>
        <v>100</v>
      </c>
      <c r="J381" s="371">
        <f ca="1">IFERROR(__xludf.DUMMYFUNCTION("IMPORTRANGE(""https://docs.google.com/spreadsheets/d/1SX6NBoVAgQJ6U1MVXOaj8PK2l7WJ3RER9xtqwdhxkhw/edit?usp=sharing"",""ลพบุรี!J276"")"),100)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IFERROR(__xludf.DUMMYFUNCTION("IMPORTRANGE(""https://docs.google.com/spreadsheets/d/1SX6NBoVAgQJ6U1MVXOaj8PK2l7WJ3RER9xtqwdhxkhw/edit?usp=sharing"",""ลพบุรี!L277"")"),0)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IFERROR(__xludf.DUMMYFUNCTION("IMPORTRANGE(""https://docs.google.com/spreadsheets/d/1SX6NBoVAgQJ6U1MVXOaj8PK2l7WJ3RER9xtqwdhxkhw/edit?usp=sharing"",""ลพบุรี!M277"")"),0)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IFERROR(__xludf.DUMMYFUNCTION("IMPORTRANGE(""https://docs.google.com/spreadsheets/d/1SX6NBoVAgQJ6U1MVXOaj8PK2l7WJ3RER9xtqwdhxkhw/edit?usp=sharing"",""ลพบุรี!L278"")"),1028520)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IFERROR(__xludf.DUMMYFUNCTION("IMPORTRANGE(""https://docs.google.com/spreadsheets/d/1SX6NBoVAgQJ6U1MVXOaj8PK2l7WJ3RER9xtqwdhxkhw/edit?usp=sharing"",""ลพบุรี!M278"")"),243805)</f>
        <v>243805</v>
      </c>
      <c r="O383" s="165">
        <f t="shared" ca="1" si="109"/>
        <v>23.704449111344456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IFERROR(__xludf.DUMMYFUNCTION("IMPORTRANGE(""https://docs.google.com/spreadsheets/d/1SX6NBoVAgQJ6U1MVXOaj8PK2l7WJ3RER9xtqwdhxkhw/edit?usp=sharing"",""ลพบุรี!L279"")"),0)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IFERROR(__xludf.DUMMYFUNCTION("IMPORTRANGE(""https://docs.google.com/spreadsheets/d/1SX6NBoVAgQJ6U1MVXOaj8PK2l7WJ3RER9xtqwdhxkhw/edit?usp=sharing"",""ลพบุรี!M279"")"),0)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IFERROR(__xludf.DUMMYFUNCTION("IMPORTRANGE(""https://docs.google.com/spreadsheets/d/1SX6NBoVAgQJ6U1MVXOaj8PK2l7WJ3RER9xtqwdhxkhw/edit?usp=sharing"",""ลพบุรี!L280"")"),1028520)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IFERROR(__xludf.DUMMYFUNCTION("IMPORTRANGE(""https://docs.google.com/spreadsheets/d/1SX6NBoVAgQJ6U1MVXOaj8PK2l7WJ3RER9xtqwdhxkhw/edit?usp=sharing"",""ลพบุรี!M280"")"),243805)</f>
        <v>243805</v>
      </c>
      <c r="O385" s="169">
        <f t="shared" ca="1" si="109"/>
        <v>23.704449111344456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IFERROR(__xludf.DUMMYFUNCTION("IMPORTRANGE(""https://docs.google.com/spreadsheets/d/1SX6NBoVAgQJ6U1MVXOaj8PK2l7WJ3RER9xtqwdhxkhw/edit?usp=sharing"",""ลพบุรี!M281"")"),197500)</f>
        <v>197500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IFERROR(__xludf.DUMMYFUNCTION("IMPORTRANGE(""https://docs.google.com/spreadsheets/d/1SX6NBoVAgQJ6U1MVXOaj8PK2l7WJ3RER9xtqwdhxkhw/edit?usp=sharing"",""ลพบุรี!M282"")"),0)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IFERROR(__xludf.DUMMYFUNCTION("IMPORTRANGE(""https://docs.google.com/spreadsheets/d/1SX6NBoVAgQJ6U1MVXOaj8PK2l7WJ3RER9xtqwdhxkhw/edit?usp=sharing"",""ลพบุรี!M283"")"),41515)</f>
        <v>41515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IFERROR(__xludf.DUMMYFUNCTION("IMPORTRANGE(""https://docs.google.com/spreadsheets/d/1SX6NBoVAgQJ6U1MVXOaj8PK2l7WJ3RER9xtqwdhxkhw/edit?usp=sharing"",""ลพบุรี!M284"")"),4790)</f>
        <v>4790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IFERROR(__xludf.DUMMYFUNCTION("IMPORTRANGE(""https://docs.google.com/spreadsheets/d/1SX6NBoVAgQJ6U1MVXOaj8PK2l7WJ3RER9xtqwdhxkhw/edit?usp=sharing"",""ลพบุรี!J286"")"),0)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IFERROR(__xludf.DUMMYFUNCTION("IMPORTRANGE(""https://docs.google.com/spreadsheets/d/1SX6NBoVAgQJ6U1MVXOaj8PK2l7WJ3RER9xtqwdhxkhw/edit?usp=sharing"",""ลพบุรี!J287"")"),1)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IFERROR(__xludf.DUMMYFUNCTION("IMPORTRANGE(""https://docs.google.com/spreadsheets/d/1SX6NBoVAgQJ6U1MVXOaj8PK2l7WJ3RER9xtqwdhxkhw/edit?usp=sharing"",""ลพบุรี!J288"")"),1)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IFERROR(__xludf.DUMMYFUNCTION("IMPORTRANGE(""https://docs.google.com/spreadsheets/d/1SX6NBoVAgQJ6U1MVXOaj8PK2l7WJ3RER9xtqwdhxkhw/edit?usp=sharing"",""ลพบุรี!J289"")"),1)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IFERROR(__xludf.DUMMYFUNCTION("IMPORTRANGE(""https://docs.google.com/spreadsheets/d/1SX6NBoVAgQJ6U1MVXOaj8PK2l7WJ3RER9xtqwdhxkhw/edit?usp=sharing"",""ลพบุรี!I291"")"),100)</f>
        <v>100</v>
      </c>
      <c r="J396" s="198">
        <f ca="1">IFERROR(__xludf.DUMMYFUNCTION("IMPORTRANGE(""https://docs.google.com/spreadsheets/d/1SX6NBoVAgQJ6U1MVXOaj8PK2l7WJ3RER9xtqwdhxkhw/edit?usp=sharing"",""ลพบุรี!J291"")"),100)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IFERROR(__xludf.DUMMYFUNCTION("IMPORTRANGE(""https://docs.google.com/spreadsheets/d/1SX6NBoVAgQJ6U1MVXOaj8PK2l7WJ3RER9xtqwdhxkhw/edit?usp=sharing"",""ลพบุรี!I292"")"),1000)</f>
        <v>1000</v>
      </c>
      <c r="J397" s="198">
        <f ca="1">IFERROR(__xludf.DUMMYFUNCTION("IMPORTRANGE(""https://docs.google.com/spreadsheets/d/1SX6NBoVAgQJ6U1MVXOaj8PK2l7WJ3RER9xtqwdhxkhw/edit?usp=sharing"",""ลพบุรี!J292"")"),0)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IFERROR(__xludf.DUMMYFUNCTION("IMPORTRANGE(""https://docs.google.com/spreadsheets/d/1SX6NBoVAgQJ6U1MVXOaj8PK2l7WJ3RER9xtqwdhxkhw/edit?usp=sharing"",""ลพบุรี!I293"")"),100)</f>
        <v>100</v>
      </c>
      <c r="J398" s="198">
        <f ca="1">IFERROR(__xludf.DUMMYFUNCTION("IMPORTRANGE(""https://docs.google.com/spreadsheets/d/1SX6NBoVAgQJ6U1MVXOaj8PK2l7WJ3RER9xtqwdhxkhw/edit?usp=sharing"",""ลพบุรี!J293"")"),0)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IFERROR(__xludf.DUMMYFUNCTION("IMPORTRANGE(""https://docs.google.com/spreadsheets/d/1SX6NBoVAgQJ6U1MVXOaj8PK2l7WJ3RER9xtqwdhxkhw/edit?usp=sharing"",""ลพบุรี!J294"")"),1)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IFERROR(__xludf.DUMMYFUNCTION("IMPORTRANGE(""https://docs.google.com/spreadsheets/d/1SX6NBoVAgQJ6U1MVXOaj8PK2l7WJ3RER9xtqwdhxkhw/edit?usp=sharing"",""ลพบุรี!J295"")"),0)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IFERROR(__xludf.DUMMYFUNCTION("IMPORTRANGE(""https://docs.google.com/spreadsheets/d/1SX6NBoVAgQJ6U1MVXOaj8PK2l7WJ3RER9xtqwdhxkhw/edit?usp=sharing"",""ลพบุรี!I296"")"),150)</f>
        <v>150</v>
      </c>
      <c r="J401" s="371">
        <f ca="1">IFERROR(__xludf.DUMMYFUNCTION("IMPORTRANGE(""https://docs.google.com/spreadsheets/d/1SX6NBoVAgQJ6U1MVXOaj8PK2l7WJ3RER9xtqwdhxkhw/edit?usp=sharing"",""ลพบุรี!J296"")"),150)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IFERROR(__xludf.DUMMYFUNCTION("IMPORTRANGE(""https://docs.google.com/spreadsheets/d/1SX6NBoVAgQJ6U1MVXOaj8PK2l7WJ3RER9xtqwdhxkhw/edit?usp=sharing"",""ลพบุรี!L296"")"),172800)</f>
        <v>172800</v>
      </c>
      <c r="M401" s="373"/>
      <c r="N401" s="373">
        <f ca="1">IFERROR(__xludf.DUMMYFUNCTION("IMPORTRANGE(""https://docs.google.com/spreadsheets/d/1SX6NBoVAgQJ6U1MVXOaj8PK2l7WJ3RER9xtqwdhxkhw/edit?usp=sharing"",""ลพบุรี!M296"")"),135260)</f>
        <v>135260</v>
      </c>
      <c r="O401" s="373">
        <f ca="1">+IF(L401&gt;0,N401*100/L401,0)</f>
        <v>78.275462962962962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IFERROR(__xludf.DUMMYFUNCTION("IMPORTRANGE(""https://docs.google.com/spreadsheets/d/1SX6NBoVAgQJ6U1MVXOaj8PK2l7WJ3RER9xtqwdhxkhw/edit?usp=sharing"",""ลพบุรี!I297"")"),50)</f>
        <v>50</v>
      </c>
      <c r="J402" s="371">
        <f ca="1">IFERROR(__xludf.DUMMYFUNCTION("IMPORTRANGE(""https://docs.google.com/spreadsheets/d/1SX6NBoVAgQJ6U1MVXOaj8PK2l7WJ3RER9xtqwdhxkhw/edit?usp=sharing"",""ลพบุรี!J297"")"),50)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IFERROR(__xludf.DUMMYFUNCTION("IMPORTRANGE(""https://docs.google.com/spreadsheets/d/1SX6NBoVAgQJ6U1MVXOaj8PK2l7WJ3RER9xtqwdhxkhw/edit?usp=sharing"",""ลพบุรี!L298"")"),0)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IFERROR(__xludf.DUMMYFUNCTION("IMPORTRANGE(""https://docs.google.com/spreadsheets/d/1SX6NBoVAgQJ6U1MVXOaj8PK2l7WJ3RER9xtqwdhxkhw/edit?usp=sharing"",""ลพบุรี!M298"")"),0)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IFERROR(__xludf.DUMMYFUNCTION("IMPORTRANGE(""https://docs.google.com/spreadsheets/d/1SX6NBoVAgQJ6U1MVXOaj8PK2l7WJ3RER9xtqwdhxkhw/edit?usp=sharing"",""ลพบุรี!L299"")"),172800)</f>
        <v>172800</v>
      </c>
      <c r="M404" s="165"/>
      <c r="N404" s="169">
        <f ca="1">IFERROR(__xludf.DUMMYFUNCTION("IMPORTRANGE(""https://docs.google.com/spreadsheets/d/1SX6NBoVAgQJ6U1MVXOaj8PK2l7WJ3RER9xtqwdhxkhw/edit?usp=sharing"",""ลพบุรี!M299"")"),135260)</f>
        <v>135260</v>
      </c>
      <c r="O404" s="169">
        <f t="shared" ca="1" si="112"/>
        <v>78.275462962962962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IFERROR(__xludf.DUMMYFUNCTION("IMPORTRANGE(""https://docs.google.com/spreadsheets/d/1SX6NBoVAgQJ6U1MVXOaj8PK2l7WJ3RER9xtqwdhxkhw/edit?usp=sharing"",""ลพบุรี!L300"")"),0)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IFERROR(__xludf.DUMMYFUNCTION("IMPORTRANGE(""https://docs.google.com/spreadsheets/d/1SX6NBoVAgQJ6U1MVXOaj8PK2l7WJ3RER9xtqwdhxkhw/edit?usp=sharing"",""ลพบุรี!M300"")"),0)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IFERROR(__xludf.DUMMYFUNCTION("IMPORTRANGE(""https://docs.google.com/spreadsheets/d/1SX6NBoVAgQJ6U1MVXOaj8PK2l7WJ3RER9xtqwdhxkhw/edit?usp=sharing"",""ลพบุรี!L301"")"),172800)</f>
        <v>172800</v>
      </c>
      <c r="M406" s="169"/>
      <c r="N406" s="169">
        <f ca="1">IFERROR(__xludf.DUMMYFUNCTION("IMPORTRANGE(""https://docs.google.com/spreadsheets/d/1SX6NBoVAgQJ6U1MVXOaj8PK2l7WJ3RER9xtqwdhxkhw/edit?usp=sharing"",""ลพบุรี!M301"")"),135260)</f>
        <v>135260</v>
      </c>
      <c r="O406" s="169">
        <f t="shared" ca="1" si="112"/>
        <v>78.275462962962962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IFERROR(__xludf.DUMMYFUNCTION("IMPORTRANGE(""https://docs.google.com/spreadsheets/d/1SX6NBoVAgQJ6U1MVXOaj8PK2l7WJ3RER9xtqwdhxkhw/edit?usp=sharing"",""ลพบุรี!M302"")"),106900)</f>
        <v>106900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IFERROR(__xludf.DUMMYFUNCTION("IMPORTRANGE(""https://docs.google.com/spreadsheets/d/1SX6NBoVAgQJ6U1MVXOaj8PK2l7WJ3RER9xtqwdhxkhw/edit?usp=sharing"",""ลพบุรี!M303"")"),21000)</f>
        <v>21000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IFERROR(__xludf.DUMMYFUNCTION("IMPORTRANGE(""https://docs.google.com/spreadsheets/d/1SX6NBoVAgQJ6U1MVXOaj8PK2l7WJ3RER9xtqwdhxkhw/edit?usp=sharing"",""ลพบุรี!M304"")"),0)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IFERROR(__xludf.DUMMYFUNCTION("IMPORTRANGE(""https://docs.google.com/spreadsheets/d/1SX6NBoVAgQJ6U1MVXOaj8PK2l7WJ3RER9xtqwdhxkhw/edit?usp=sharing"",""ลพบุรี!M305"")"),7360)</f>
        <v>7360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IFERROR(__xludf.DUMMYFUNCTION("IMPORTRANGE(""https://docs.google.com/spreadsheets/d/1SX6NBoVAgQJ6U1MVXOaj8PK2l7WJ3RER9xtqwdhxkhw/edit?usp=sharing"",""ลพบุรี!J307"")"),0)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IFERROR(__xludf.DUMMYFUNCTION("IMPORTRANGE(""https://docs.google.com/spreadsheets/d/1SX6NBoVAgQJ6U1MVXOaj8PK2l7WJ3RER9xtqwdhxkhw/edit?usp=sharing"",""ลพบุรี!J308"")"),1)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IFERROR(__xludf.DUMMYFUNCTION("IMPORTRANGE(""https://docs.google.com/spreadsheets/d/1SX6NBoVAgQJ6U1MVXOaj8PK2l7WJ3RER9xtqwdhxkhw/edit?usp=sharing"",""ลพบุรี!J309"")"),1)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IFERROR(__xludf.DUMMYFUNCTION("IMPORTRANGE(""https://docs.google.com/spreadsheets/d/1SX6NBoVAgQJ6U1MVXOaj8PK2l7WJ3RER9xtqwdhxkhw/edit?usp=sharing"",""ลพบุรี!J310"")"),1)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IFERROR(__xludf.DUMMYFUNCTION("IMPORTRANGE(""https://docs.google.com/spreadsheets/d/1SX6NBoVAgQJ6U1MVXOaj8PK2l7WJ3RER9xtqwdhxkhw/edit?usp=sharing"",""ลพบุรี!I311"")"),50)</f>
        <v>50</v>
      </c>
      <c r="J416" s="201">
        <f ca="1">IFERROR(__xludf.DUMMYFUNCTION("IMPORTRANGE(""https://docs.google.com/spreadsheets/d/1SX6NBoVAgQJ6U1MVXOaj8PK2l7WJ3RER9xtqwdhxkhw/edit?usp=sharing"",""ลพบุรี!J311"")"),50)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IFERROR(__xludf.DUMMYFUNCTION("IMPORTRANGE(""https://docs.google.com/spreadsheets/d/1SX6NBoVAgQJ6U1MVXOaj8PK2l7WJ3RER9xtqwdhxkhw/edit?usp=sharing"",""ลพบุรี!I312"")"),10)</f>
        <v>10</v>
      </c>
      <c r="J417" s="392">
        <f ca="1">IFERROR(__xludf.DUMMYFUNCTION("IMPORTRANGE(""https://docs.google.com/spreadsheets/d/1SX6NBoVAgQJ6U1MVXOaj8PK2l7WJ3RER9xtqwdhxkhw/edit?usp=sharing"",""ลพบุรี!J312"")"),10)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IFERROR(__xludf.DUMMYFUNCTION("IMPORTRANGE(""https://docs.google.com/spreadsheets/d/1SX6NBoVAgQJ6U1MVXOaj8PK2l7WJ3RER9xtqwdhxkhw/edit?usp=sharing"",""ลพบุรี!I313"")"),30)</f>
        <v>30</v>
      </c>
      <c r="J418" s="393">
        <f ca="1">IFERROR(__xludf.DUMMYFUNCTION("IMPORTRANGE(""https://docs.google.com/spreadsheets/d/1SX6NBoVAgQJ6U1MVXOaj8PK2l7WJ3RER9xtqwdhxkhw/edit?usp=sharing"",""ลพบุรี!J313"")"),30)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IFERROR(__xludf.DUMMYFUNCTION("IMPORTRANGE(""https://docs.google.com/spreadsheets/d/1SX6NBoVAgQJ6U1MVXOaj8PK2l7WJ3RER9xtqwdhxkhw/edit?usp=sharing"",""ลพบุรี!I314"")"),10)</f>
        <v>10</v>
      </c>
      <c r="J419" s="394">
        <f ca="1">IFERROR(__xludf.DUMMYFUNCTION("IMPORTRANGE(""https://docs.google.com/spreadsheets/d/1SX6NBoVAgQJ6U1MVXOaj8PK2l7WJ3RER9xtqwdhxkhw/edit?usp=sharing"",""ลพบุรี!J314"")"),10)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IFERROR(__xludf.DUMMYFUNCTION("IMPORTRANGE(""https://docs.google.com/spreadsheets/d/1SX6NBoVAgQJ6U1MVXOaj8PK2l7WJ3RER9xtqwdhxkhw/edit?usp=sharing"",""ลพบุรี!I315"")"),10)</f>
        <v>10</v>
      </c>
      <c r="J420" s="394">
        <f ca="1">IFERROR(__xludf.DUMMYFUNCTION("IMPORTRANGE(""https://docs.google.com/spreadsheets/d/1SX6NBoVAgQJ6U1MVXOaj8PK2l7WJ3RER9xtqwdhxkhw/edit?usp=sharing"",""ลพบุรี!J315"")"),10)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IFERROR(__xludf.DUMMYFUNCTION("IMPORTRANGE(""https://docs.google.com/spreadsheets/d/1SX6NBoVAgQJ6U1MVXOaj8PK2l7WJ3RER9xtqwdhxkhw/edit?usp=sharing"",""ลพบุรี!I316"")"),30)</f>
        <v>30</v>
      </c>
      <c r="J421" s="392">
        <f ca="1">IFERROR(__xludf.DUMMYFUNCTION("IMPORTRANGE(""https://docs.google.com/spreadsheets/d/1SX6NBoVAgQJ6U1MVXOaj8PK2l7WJ3RER9xtqwdhxkhw/edit?usp=sharing"",""ลพบุรี!J316"")"),30)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IFERROR(__xludf.DUMMYFUNCTION("IMPORTRANGE(""https://docs.google.com/spreadsheets/d/1SX6NBoVAgQJ6U1MVXOaj8PK2l7WJ3RER9xtqwdhxkhw/edit?usp=sharing"",""ลพบุรี!I317"")"),90)</f>
        <v>90</v>
      </c>
      <c r="J422" s="393">
        <f ca="1">IFERROR(__xludf.DUMMYFUNCTION("IMPORTRANGE(""https://docs.google.com/spreadsheets/d/1SX6NBoVAgQJ6U1MVXOaj8PK2l7WJ3RER9xtqwdhxkhw/edit?usp=sharing"",""ลพบุรี!J317"")"),90)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IFERROR(__xludf.DUMMYFUNCTION("IMPORTRANGE(""https://docs.google.com/spreadsheets/d/1SX6NBoVAgQJ6U1MVXOaj8PK2l7WJ3RER9xtqwdhxkhw/edit?usp=sharing"",""ลพบุรี!I318"")"),30)</f>
        <v>30</v>
      </c>
      <c r="J423" s="394">
        <f ca="1">IFERROR(__xludf.DUMMYFUNCTION("IMPORTRANGE(""https://docs.google.com/spreadsheets/d/1SX6NBoVAgQJ6U1MVXOaj8PK2l7WJ3RER9xtqwdhxkhw/edit?usp=sharing"",""ลพบุรี!J318"")"),30)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IFERROR(__xludf.DUMMYFUNCTION("IMPORTRANGE(""https://docs.google.com/spreadsheets/d/1SX6NBoVAgQJ6U1MVXOaj8PK2l7WJ3RER9xtqwdhxkhw/edit?usp=sharing"",""ลพบุรี!I319"")"),30)</f>
        <v>30</v>
      </c>
      <c r="J424" s="394">
        <f ca="1">IFERROR(__xludf.DUMMYFUNCTION("IMPORTRANGE(""https://docs.google.com/spreadsheets/d/1SX6NBoVAgQJ6U1MVXOaj8PK2l7WJ3RER9xtqwdhxkhw/edit?usp=sharing"",""ลพบุรี!J319"")"),30)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IFERROR(__xludf.DUMMYFUNCTION("IMPORTRANGE(""https://docs.google.com/spreadsheets/d/1SX6NBoVAgQJ6U1MVXOaj8PK2l7WJ3RER9xtqwdhxkhw/edit?usp=sharing"",""ลพบุรี!I320"")"),30)</f>
        <v>30</v>
      </c>
      <c r="J425" s="394">
        <f ca="1">IFERROR(__xludf.DUMMYFUNCTION("IMPORTRANGE(""https://docs.google.com/spreadsheets/d/1SX6NBoVAgQJ6U1MVXOaj8PK2l7WJ3RER9xtqwdhxkhw/edit?usp=sharing"",""ลพบุรี!J320"")"),30)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IFERROR(__xludf.DUMMYFUNCTION("IMPORTRANGE(""https://docs.google.com/spreadsheets/d/1SX6NBoVAgQJ6U1MVXOaj8PK2l7WJ3RER9xtqwdhxkhw/edit?usp=sharing"",""ลพบุรี!I321"")"),10)</f>
        <v>10</v>
      </c>
      <c r="J426" s="392">
        <f ca="1">IFERROR(__xludf.DUMMYFUNCTION("IMPORTRANGE(""https://docs.google.com/spreadsheets/d/1SX6NBoVAgQJ6U1MVXOaj8PK2l7WJ3RER9xtqwdhxkhw/edit?usp=sharing"",""ลพบุรี!J321"")"),10)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IFERROR(__xludf.DUMMYFUNCTION("IMPORTRANGE(""https://docs.google.com/spreadsheets/d/1SX6NBoVAgQJ6U1MVXOaj8PK2l7WJ3RER9xtqwdhxkhw/edit?usp=sharing"",""ลพบุรี!I322"")"),30)</f>
        <v>30</v>
      </c>
      <c r="J427" s="393">
        <f ca="1">IFERROR(__xludf.DUMMYFUNCTION("IMPORTRANGE(""https://docs.google.com/spreadsheets/d/1SX6NBoVAgQJ6U1MVXOaj8PK2l7WJ3RER9xtqwdhxkhw/edit?usp=sharing"",""ลพบุรี!J322"")"),30)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IFERROR(__xludf.DUMMYFUNCTION("IMPORTRANGE(""https://docs.google.com/spreadsheets/d/1SX6NBoVAgQJ6U1MVXOaj8PK2l7WJ3RER9xtqwdhxkhw/edit?usp=sharing"",""ลพบุรี!I323"")"),10)</f>
        <v>10</v>
      </c>
      <c r="J428" s="394">
        <f ca="1">IFERROR(__xludf.DUMMYFUNCTION("IMPORTRANGE(""https://docs.google.com/spreadsheets/d/1SX6NBoVAgQJ6U1MVXOaj8PK2l7WJ3RER9xtqwdhxkhw/edit?usp=sharing"",""ลพบุรี!J323"")"),10)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IFERROR(__xludf.DUMMYFUNCTION("IMPORTRANGE(""https://docs.google.com/spreadsheets/d/1SX6NBoVAgQJ6U1MVXOaj8PK2l7WJ3RER9xtqwdhxkhw/edit?usp=sharing"",""ลพบุรี!I324"")"),10)</f>
        <v>10</v>
      </c>
      <c r="J429" s="394">
        <f ca="1">IFERROR(__xludf.DUMMYFUNCTION("IMPORTRANGE(""https://docs.google.com/spreadsheets/d/1SX6NBoVAgQJ6U1MVXOaj8PK2l7WJ3RER9xtqwdhxkhw/edit?usp=sharing"",""ลพบุรี!J324"")"),10)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IFERROR(__xludf.DUMMYFUNCTION("IMPORTRANGE(""https://docs.google.com/spreadsheets/d/1SX6NBoVAgQJ6U1MVXOaj8PK2l7WJ3RER9xtqwdhxkhw/edit?usp=sharing"",""ลพบุรี!I325"")"),40)</f>
        <v>40</v>
      </c>
      <c r="J430" s="392">
        <f ca="1">IFERROR(__xludf.DUMMYFUNCTION("IMPORTRANGE(""https://docs.google.com/spreadsheets/d/1SX6NBoVAgQJ6U1MVXOaj8PK2l7WJ3RER9xtqwdhxkhw/edit?usp=sharing"",""ลพบุรี!J325"")"),0)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IFERROR(__xludf.DUMMYFUNCTION("IMPORTRANGE(""https://docs.google.com/spreadsheets/d/1SX6NBoVAgQJ6U1MVXOaj8PK2l7WJ3RER9xtqwdhxkhw/edit?usp=sharing"",""ลพบุรี!I326"")"),10)</f>
        <v>10</v>
      </c>
      <c r="J431" s="394">
        <f ca="1">IFERROR(__xludf.DUMMYFUNCTION("IMPORTRANGE(""https://docs.google.com/spreadsheets/d/1SX6NBoVAgQJ6U1MVXOaj8PK2l7WJ3RER9xtqwdhxkhw/edit?usp=sharing"",""ลพบุรี!J326"")"),0)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IFERROR(__xludf.DUMMYFUNCTION("IMPORTRANGE(""https://docs.google.com/spreadsheets/d/1SX6NBoVAgQJ6U1MVXOaj8PK2l7WJ3RER9xtqwdhxkhw/edit?usp=sharing"",""ลพบุรี!I327"")"),30)</f>
        <v>30</v>
      </c>
      <c r="J432" s="394">
        <f ca="1">IFERROR(__xludf.DUMMYFUNCTION("IMPORTRANGE(""https://docs.google.com/spreadsheets/d/1SX6NBoVAgQJ6U1MVXOaj8PK2l7WJ3RER9xtqwdhxkhw/edit?usp=sharing"",""ลพบุรี!J327"")"),30)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IFERROR(__xludf.DUMMYFUNCTION("IMPORTRANGE(""https://docs.google.com/spreadsheets/d/1SX6NBoVAgQJ6U1MVXOaj8PK2l7WJ3RER9xtqwdhxkhw/edit?usp=sharing"",""ลพบุรี!J328"")"),1)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IFERROR(__xludf.DUMMYFUNCTION("IMPORTRANGE(""https://docs.google.com/spreadsheets/d/1SX6NBoVAgQJ6U1MVXOaj8PK2l7WJ3RER9xtqwdhxkhw/edit?usp=sharing"",""ลพบุรี!J329"")"),0)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IFERROR(__xludf.DUMMYFUNCTION("IMPORTRANGE(""https://docs.google.com/spreadsheets/d/1SX6NBoVAgQJ6U1MVXOaj8PK2l7WJ3RER9xtqwdhxkhw/edit?usp=sharing"",""ลพบุรี!I330"")"),20)</f>
        <v>20</v>
      </c>
      <c r="J435" s="410">
        <f ca="1">IFERROR(__xludf.DUMMYFUNCTION("IMPORTRANGE(""https://docs.google.com/spreadsheets/d/1SX6NBoVAgQJ6U1MVXOaj8PK2l7WJ3RER9xtqwdhxkhw/edit?usp=sharing"",""ลพบุรี!J330"")"),20)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IFERROR(__xludf.DUMMYFUNCTION("IMPORTRANGE(""https://docs.google.com/spreadsheets/d/1SX6NBoVAgQJ6U1MVXOaj8PK2l7WJ3RER9xtqwdhxkhw/edit?usp=sharing"",""ลพบุรี!L330"")"),100000)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IFERROR(__xludf.DUMMYFUNCTION("IMPORTRANGE(""https://docs.google.com/spreadsheets/d/1SX6NBoVAgQJ6U1MVXOaj8PK2l7WJ3RER9xtqwdhxkhw/edit?usp=sharing"",""ลพบุรี!M330"")"),66880)</f>
        <v>66880</v>
      </c>
      <c r="O435" s="412">
        <f t="shared" ref="O435:O439" ca="1" si="114">+IF(L435&gt;0,N435*100/L435,0)</f>
        <v>66.88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IFERROR(__xludf.DUMMYFUNCTION("IMPORTRANGE(""https://docs.google.com/spreadsheets/d/1SX6NBoVAgQJ6U1MVXOaj8PK2l7WJ3RER9xtqwdhxkhw/edit?usp=sharing"",""ลพบุรี!L331"")"),0)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IFERROR(__xludf.DUMMYFUNCTION("IMPORTRANGE(""https://docs.google.com/spreadsheets/d/1SX6NBoVAgQJ6U1MVXOaj8PK2l7WJ3RER9xtqwdhxkhw/edit?usp=sharing"",""ลพบุรี!M331"")"),0)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IFERROR(__xludf.DUMMYFUNCTION("IMPORTRANGE(""https://docs.google.com/spreadsheets/d/1SX6NBoVAgQJ6U1MVXOaj8PK2l7WJ3RER9xtqwdhxkhw/edit?usp=sharing"",""ลพบุรี!L332"")"),100000)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IFERROR(__xludf.DUMMYFUNCTION("IMPORTRANGE(""https://docs.google.com/spreadsheets/d/1SX6NBoVAgQJ6U1MVXOaj8PK2l7WJ3RER9xtqwdhxkhw/edit?usp=sharing"",""ลพบุรี!M332"")"),66880)</f>
        <v>66880</v>
      </c>
      <c r="O437" s="169">
        <f t="shared" ca="1" si="114"/>
        <v>66.88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IFERROR(__xludf.DUMMYFUNCTION("IMPORTRANGE(""https://docs.google.com/spreadsheets/d/1SX6NBoVAgQJ6U1MVXOaj8PK2l7WJ3RER9xtqwdhxkhw/edit?usp=sharing"",""ลพบุรี!L333"")"),0)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IFERROR(__xludf.DUMMYFUNCTION("IMPORTRANGE(""https://docs.google.com/spreadsheets/d/1SX6NBoVAgQJ6U1MVXOaj8PK2l7WJ3RER9xtqwdhxkhw/edit?usp=sharing"",""ลพบุรี!M333"")"),0)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IFERROR(__xludf.DUMMYFUNCTION("IMPORTRANGE(""https://docs.google.com/spreadsheets/d/1SX6NBoVAgQJ6U1MVXOaj8PK2l7WJ3RER9xtqwdhxkhw/edit?usp=sharing"",""ลพบุรี!L334"")"),100000)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IFERROR(__xludf.DUMMYFUNCTION("IMPORTRANGE(""https://docs.google.com/spreadsheets/d/1SX6NBoVAgQJ6U1MVXOaj8PK2l7WJ3RER9xtqwdhxkhw/edit?usp=sharing"",""ลพบุรี!M334"")"),66880)</f>
        <v>66880</v>
      </c>
      <c r="O439" s="169">
        <f t="shared" ca="1" si="114"/>
        <v>66.88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IFERROR(__xludf.DUMMYFUNCTION("IMPORTRANGE(""https://docs.google.com/spreadsheets/d/1SX6NBoVAgQJ6U1MVXOaj8PK2l7WJ3RER9xtqwdhxkhw/edit?usp=sharing"",""ลพบุรี!M335"")"),44200)</f>
        <v>44200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IFERROR(__xludf.DUMMYFUNCTION("IMPORTRANGE(""https://docs.google.com/spreadsheets/d/1SX6NBoVAgQJ6U1MVXOaj8PK2l7WJ3RER9xtqwdhxkhw/edit?usp=sharing"",""ลพบุรี!M336"")"),0)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IFERROR(__xludf.DUMMYFUNCTION("IMPORTRANGE(""https://docs.google.com/spreadsheets/d/1SX6NBoVAgQJ6U1MVXOaj8PK2l7WJ3RER9xtqwdhxkhw/edit?usp=sharing"",""ลพบุรี!M337"")"),0)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IFERROR(__xludf.DUMMYFUNCTION("IMPORTRANGE(""https://docs.google.com/spreadsheets/d/1SX6NBoVAgQJ6U1MVXOaj8PK2l7WJ3RER9xtqwdhxkhw/edit?usp=sharing"",""ลพบุรี!M338"")"),22680)</f>
        <v>22680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IFERROR(__xludf.DUMMYFUNCTION("IMPORTRANGE(""https://docs.google.com/spreadsheets/d/1SX6NBoVAgQJ6U1MVXOaj8PK2l7WJ3RER9xtqwdhxkhw/edit?usp=sharing"",""ลพบุรี!J340"")"),0)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IFERROR(__xludf.DUMMYFUNCTION("IMPORTRANGE(""https://docs.google.com/spreadsheets/d/1SX6NBoVAgQJ6U1MVXOaj8PK2l7WJ3RER9xtqwdhxkhw/edit?usp=sharing"",""ลพบุรี!J341"")"),0)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IFERROR(__xludf.DUMMYFUNCTION("IMPORTRANGE(""https://docs.google.com/spreadsheets/d/1SX6NBoVAgQJ6U1MVXOaj8PK2l7WJ3RER9xtqwdhxkhw/edit?usp=sharing"",""ลพบุรี!J342"")"),0)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IFERROR(__xludf.DUMMYFUNCTION("IMPORTRANGE(""https://docs.google.com/spreadsheets/d/1SX6NBoVAgQJ6U1MVXOaj8PK2l7WJ3RER9xtqwdhxkhw/edit?usp=sharing"",""ลพบุรี!J343"")"),0)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IFERROR(__xludf.DUMMYFUNCTION("IMPORTRANGE(""https://docs.google.com/spreadsheets/d/1SX6NBoVAgQJ6U1MVXOaj8PK2l7WJ3RER9xtqwdhxkhw/edit?usp=sharing"",""ลพบุรี!I344"")"),20)</f>
        <v>20</v>
      </c>
      <c r="J449" s="201">
        <f ca="1">IFERROR(__xludf.DUMMYFUNCTION("IMPORTRANGE(""https://docs.google.com/spreadsheets/d/1SX6NBoVAgQJ6U1MVXOaj8PK2l7WJ3RER9xtqwdhxkhw/edit?usp=sharing"",""ลพบุรี!J344"")"),20)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IFERROR(__xludf.DUMMYFUNCTION("IMPORTRANGE(""https://docs.google.com/spreadsheets/d/1SX6NBoVAgQJ6U1MVXOaj8PK2l7WJ3RER9xtqwdhxkhw/edit?usp=sharing"",""ลพบุรี!I345"")"),20)</f>
        <v>20</v>
      </c>
      <c r="J450" s="189">
        <f ca="1">IFERROR(__xludf.DUMMYFUNCTION("IMPORTRANGE(""https://docs.google.com/spreadsheets/d/1SX6NBoVAgQJ6U1MVXOaj8PK2l7WJ3RER9xtqwdhxkhw/edit?usp=sharing"",""ลพบุรี!J345"")"),20)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IFERROR(__xludf.DUMMYFUNCTION("IMPORTRANGE(""https://docs.google.com/spreadsheets/d/1SX6NBoVAgQJ6U1MVXOaj8PK2l7WJ3RER9xtqwdhxkhw/edit?usp=sharing"",""ลพบุรี!I346"")"),0)</f>
        <v>0</v>
      </c>
      <c r="J451" s="188">
        <f ca="1">IFERROR(__xludf.DUMMYFUNCTION("IMPORTRANGE(""https://docs.google.com/spreadsheets/d/1SX6NBoVAgQJ6U1MVXOaj8PK2l7WJ3RER9xtqwdhxkhw/edit?usp=sharing"",""ลพบุรี!J346"")"),0)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IFERROR(__xludf.DUMMYFUNCTION("IMPORTRANGE(""https://docs.google.com/spreadsheets/d/1SX6NBoVAgQJ6U1MVXOaj8PK2l7WJ3RER9xtqwdhxkhw/edit?usp=sharing"",""ลพบุรี!I347"")"),0)</f>
        <v>0</v>
      </c>
      <c r="J452" s="188">
        <f ca="1">IFERROR(__xludf.DUMMYFUNCTION("IMPORTRANGE(""https://docs.google.com/spreadsheets/d/1SX6NBoVAgQJ6U1MVXOaj8PK2l7WJ3RER9xtqwdhxkhw/edit?usp=sharing"",""ลพบุรี!J347"")"),0)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IFERROR(__xludf.DUMMYFUNCTION("IMPORTRANGE(""https://docs.google.com/spreadsheets/d/1SX6NBoVAgQJ6U1MVXOaj8PK2l7WJ3RER9xtqwdhxkhw/edit?usp=sharing"",""ลพบุรี!J348"")"),1)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IFERROR(__xludf.DUMMYFUNCTION("IMPORTRANGE(""https://docs.google.com/spreadsheets/d/1SX6NBoVAgQJ6U1MVXOaj8PK2l7WJ3RER9xtqwdhxkhw/edit?usp=sharing"",""ลพบุรี!J349"")"),1)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IFERROR(__xludf.DUMMYFUNCTION("IMPORTRANGE(""https://docs.google.com/spreadsheets/d/1SX6NBoVAgQJ6U1MVXOaj8PK2l7WJ3RER9xtqwdhxkhw/edit?usp=sharing"",""ลพบุรี!I350"")"),109020)</f>
        <v>109020</v>
      </c>
      <c r="J455" s="371">
        <f ca="1">IFERROR(__xludf.DUMMYFUNCTION("IMPORTRANGE(""https://docs.google.com/spreadsheets/d/1SX6NBoVAgQJ6U1MVXOaj8PK2l7WJ3RER9xtqwdhxkhw/edit?usp=sharing"",""ลพบุรี!J350"")"),0)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IFERROR(__xludf.DUMMYFUNCTION("IMPORTRANGE(""https://docs.google.com/spreadsheets/d/1SX6NBoVAgQJ6U1MVXOaj8PK2l7WJ3RER9xtqwdhxkhw/edit?usp=sharing"",""ลพบุรี!L350"")"),794001)</f>
        <v>794001</v>
      </c>
      <c r="M455" s="373"/>
      <c r="N455" s="373">
        <f ca="1">IFERROR(__xludf.DUMMYFUNCTION("IMPORTRANGE(""https://docs.google.com/spreadsheets/d/1SX6NBoVAgQJ6U1MVXOaj8PK2l7WJ3RER9xtqwdhxkhw/edit?usp=sharing"",""ลพบุรี!M350"")"),94365.15)</f>
        <v>94365.15</v>
      </c>
      <c r="O455" s="373">
        <f t="shared" ref="O455:O459" ca="1" si="116">+IF(L455&gt;0,N455*100/L455,0)</f>
        <v>11.884764628759914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IFERROR(__xludf.DUMMYFUNCTION("IMPORTRANGE(""https://docs.google.com/spreadsheets/d/1SX6NBoVAgQJ6U1MVXOaj8PK2l7WJ3RER9xtqwdhxkhw/edit?usp=sharing"",""ลพบุรี!L351"")"),0)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IFERROR(__xludf.DUMMYFUNCTION("IMPORTRANGE(""https://docs.google.com/spreadsheets/d/1SX6NBoVAgQJ6U1MVXOaj8PK2l7WJ3RER9xtqwdhxkhw/edit?usp=sharing"",""ลพบุรี!M351"")"),0)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IFERROR(__xludf.DUMMYFUNCTION("IMPORTRANGE(""https://docs.google.com/spreadsheets/d/1SX6NBoVAgQJ6U1MVXOaj8PK2l7WJ3RER9xtqwdhxkhw/edit?usp=sharing"",""ลพบุรี!L352"")"),794001)</f>
        <v>794001</v>
      </c>
      <c r="M457" s="165"/>
      <c r="N457" s="169">
        <f ca="1">IFERROR(__xludf.DUMMYFUNCTION("IMPORTRANGE(""https://docs.google.com/spreadsheets/d/1SX6NBoVAgQJ6U1MVXOaj8PK2l7WJ3RER9xtqwdhxkhw/edit?usp=sharing"",""ลพบุรี!M352"")"),94365.15)</f>
        <v>94365.15</v>
      </c>
      <c r="O457" s="169">
        <f t="shared" ca="1" si="116"/>
        <v>11.884764628759914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IFERROR(__xludf.DUMMYFUNCTION("IMPORTRANGE(""https://docs.google.com/spreadsheets/d/1SX6NBoVAgQJ6U1MVXOaj8PK2l7WJ3RER9xtqwdhxkhw/edit?usp=sharing"",""ลพบุรี!L353"")"),0)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IFERROR(__xludf.DUMMYFUNCTION("IMPORTRANGE(""https://docs.google.com/spreadsheets/d/1SX6NBoVAgQJ6U1MVXOaj8PK2l7WJ3RER9xtqwdhxkhw/edit?usp=sharing"",""ลพบุรี!M353"")"),0)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IFERROR(__xludf.DUMMYFUNCTION("IMPORTRANGE(""https://docs.google.com/spreadsheets/d/1SX6NBoVAgQJ6U1MVXOaj8PK2l7WJ3RER9xtqwdhxkhw/edit?usp=sharing"",""ลพบุรี!L354"")"),794001)</f>
        <v>794001</v>
      </c>
      <c r="M459" s="169"/>
      <c r="N459" s="169">
        <f ca="1">IFERROR(__xludf.DUMMYFUNCTION("IMPORTRANGE(""https://docs.google.com/spreadsheets/d/1SX6NBoVAgQJ6U1MVXOaj8PK2l7WJ3RER9xtqwdhxkhw/edit?usp=sharing"",""ลพบุรี!M354"")"),94365.15)</f>
        <v>94365.15</v>
      </c>
      <c r="O459" s="169">
        <f t="shared" ca="1" si="116"/>
        <v>11.884764628759914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IFERROR(__xludf.DUMMYFUNCTION("IMPORTRANGE(""https://docs.google.com/spreadsheets/d/1SX6NBoVAgQJ6U1MVXOaj8PK2l7WJ3RER9xtqwdhxkhw/edit?usp=sharing"",""ลพบุรี!M355"")"),0)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IFERROR(__xludf.DUMMYFUNCTION("IMPORTRANGE(""https://docs.google.com/spreadsheets/d/1SX6NBoVAgQJ6U1MVXOaj8PK2l7WJ3RER9xtqwdhxkhw/edit?usp=sharing"",""ลพบุรี!M356"")"),0)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IFERROR(__xludf.DUMMYFUNCTION("IMPORTRANGE(""https://docs.google.com/spreadsheets/d/1SX6NBoVAgQJ6U1MVXOaj8PK2l7WJ3RER9xtqwdhxkhw/edit?usp=sharing"",""ลพบุรี!M357"")"),31886)</f>
        <v>31886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IFERROR(__xludf.DUMMYFUNCTION("IMPORTRANGE(""https://docs.google.com/spreadsheets/d/1SX6NBoVAgQJ6U1MVXOaj8PK2l7WJ3RER9xtqwdhxkhw/edit?usp=sharing"",""ลพบุรี!M358"")"),62479.15)</f>
        <v>62479.15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IFERROR(__xludf.DUMMYFUNCTION("IMPORTRANGE(""https://docs.google.com/spreadsheets/d/1SX6NBoVAgQJ6U1MVXOaj8PK2l7WJ3RER9xtqwdhxkhw/edit?usp=sharing"",""ลพบุรี!I359"")"),109020)</f>
        <v>109020</v>
      </c>
      <c r="J464" s="267">
        <f ca="1">IFERROR(__xludf.DUMMYFUNCTION("IMPORTRANGE(""https://docs.google.com/spreadsheets/d/1SX6NBoVAgQJ6U1MVXOaj8PK2l7WJ3RER9xtqwdhxkhw/edit?usp=sharing"",""ลพบุรี!J359"")"),0)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IFERROR(__xludf.DUMMYFUNCTION("IMPORTRANGE(""https://docs.google.com/spreadsheets/d/1SX6NBoVAgQJ6U1MVXOaj8PK2l7WJ3RER9xtqwdhxkhw/edit?usp=sharing"",""ลพบุรี!I360"")"),109020)</f>
        <v>109020</v>
      </c>
      <c r="J465" s="420">
        <f ca="1">IFERROR(__xludf.DUMMYFUNCTION("IMPORTRANGE(""https://docs.google.com/spreadsheets/d/1SX6NBoVAgQJ6U1MVXOaj8PK2l7WJ3RER9xtqwdhxkhw/edit?usp=sharing"",""ลพบุรี!J360"")"),109022)</f>
        <v>109022</v>
      </c>
      <c r="K465" s="202">
        <f t="shared" ca="1" si="117"/>
        <v>100.00183452577508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IFERROR(__xludf.DUMMYFUNCTION("IMPORTRANGE(""https://docs.google.com/spreadsheets/d/1SX6NBoVAgQJ6U1MVXOaj8PK2l7WJ3RER9xtqwdhxkhw/edit?usp=sharing"",""ลพบุรี!I361"")"),6394)</f>
        <v>6394</v>
      </c>
      <c r="J466" s="420">
        <f ca="1">IFERROR(__xludf.DUMMYFUNCTION("IMPORTRANGE(""https://docs.google.com/spreadsheets/d/1SX6NBoVAgQJ6U1MVXOaj8PK2l7WJ3RER9xtqwdhxkhw/edit?usp=sharing"",""ลพบุรี!J361"")"),6394)</f>
        <v>6394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IFERROR(__xludf.DUMMYFUNCTION("IMPORTRANGE(""https://docs.google.com/spreadsheets/d/1SX6NBoVAgQJ6U1MVXOaj8PK2l7WJ3RER9xtqwdhxkhw/edit?usp=sharing"",""ลพบุรี!I362"")"),0)</f>
        <v>0</v>
      </c>
      <c r="J467" s="189">
        <f ca="1">IFERROR(__xludf.DUMMYFUNCTION("IMPORTRANGE(""https://docs.google.com/spreadsheets/d/1SX6NBoVAgQJ6U1MVXOaj8PK2l7WJ3RER9xtqwdhxkhw/edit?usp=sharing"",""ลพบุรี!J362"")"),76932)</f>
        <v>76932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IFERROR(__xludf.DUMMYFUNCTION("IMPORTRANGE(""https://docs.google.com/spreadsheets/d/1SX6NBoVAgQJ6U1MVXOaj8PK2l7WJ3RER9xtqwdhxkhw/edit?usp=sharing"",""ลพบุรี!I363"")"),0)</f>
        <v>0</v>
      </c>
      <c r="J468" s="189">
        <f ca="1">IFERROR(__xludf.DUMMYFUNCTION("IMPORTRANGE(""https://docs.google.com/spreadsheets/d/1SX6NBoVAgQJ6U1MVXOaj8PK2l7WJ3RER9xtqwdhxkhw/edit?usp=sharing"",""ลพบุรี!J363"")"),4807)</f>
        <v>4807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IFERROR(__xludf.DUMMYFUNCTION("IMPORTRANGE(""https://docs.google.com/spreadsheets/d/1SX6NBoVAgQJ6U1MVXOaj8PK2l7WJ3RER9xtqwdhxkhw/edit?usp=sharing"",""ลพบุรี!I364"")"),0)</f>
        <v>0</v>
      </c>
      <c r="J469" s="189">
        <f ca="1">IFERROR(__xludf.DUMMYFUNCTION("IMPORTRANGE(""https://docs.google.com/spreadsheets/d/1SX6NBoVAgQJ6U1MVXOaj8PK2l7WJ3RER9xtqwdhxkhw/edit?usp=sharing"",""ลพบุรี!J364"")"),28032)</f>
        <v>28032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IFERROR(__xludf.DUMMYFUNCTION("IMPORTRANGE(""https://docs.google.com/spreadsheets/d/1SX6NBoVAgQJ6U1MVXOaj8PK2l7WJ3RER9xtqwdhxkhw/edit?usp=sharing"",""ลพบุรี!I365"")"),0)</f>
        <v>0</v>
      </c>
      <c r="J470" s="189">
        <f ca="1">IFERROR(__xludf.DUMMYFUNCTION("IMPORTRANGE(""https://docs.google.com/spreadsheets/d/1SX6NBoVAgQJ6U1MVXOaj8PK2l7WJ3RER9xtqwdhxkhw/edit?usp=sharing"",""ลพบุรี!J365"")"),1369)</f>
        <v>1369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IFERROR(__xludf.DUMMYFUNCTION("IMPORTRANGE(""https://docs.google.com/spreadsheets/d/1SX6NBoVAgQJ6U1MVXOaj8PK2l7WJ3RER9xtqwdhxkhw/edit?usp=sharing"",""ลพบุรี!I366"")"),0)</f>
        <v>0</v>
      </c>
      <c r="J471" s="189">
        <f ca="1">IFERROR(__xludf.DUMMYFUNCTION("IMPORTRANGE(""https://docs.google.com/spreadsheets/d/1SX6NBoVAgQJ6U1MVXOaj8PK2l7WJ3RER9xtqwdhxkhw/edit?usp=sharing"",""ลพบุรี!J366"")"),4058)</f>
        <v>4058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IFERROR(__xludf.DUMMYFUNCTION("IMPORTRANGE(""https://docs.google.com/spreadsheets/d/1SX6NBoVAgQJ6U1MVXOaj8PK2l7WJ3RER9xtqwdhxkhw/edit?usp=sharing"",""ลพบุรี!I367"")"),0)</f>
        <v>0</v>
      </c>
      <c r="J472" s="189">
        <f ca="1">IFERROR(__xludf.DUMMYFUNCTION("IMPORTRANGE(""https://docs.google.com/spreadsheets/d/1SX6NBoVAgQJ6U1MVXOaj8PK2l7WJ3RER9xtqwdhxkhw/edit?usp=sharing"",""ลพบุรี!J367"")"),218)</f>
        <v>218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IFERROR(__xludf.DUMMYFUNCTION("IMPORTRANGE(""https://docs.google.com/spreadsheets/d/1SX6NBoVAgQJ6U1MVXOaj8PK2l7WJ3RER9xtqwdhxkhw/edit?usp=sharing"",""ลพบุรี!I368"")"),109020)</f>
        <v>109020</v>
      </c>
      <c r="J473" s="420">
        <f ca="1">IFERROR(__xludf.DUMMYFUNCTION("IMPORTRANGE(""https://docs.google.com/spreadsheets/d/1SX6NBoVAgQJ6U1MVXOaj8PK2l7WJ3RER9xtqwdhxkhw/edit?usp=sharing"",""ลพบุรี!J368"")"),109022)</f>
        <v>109022</v>
      </c>
      <c r="K473" s="202">
        <f t="shared" ca="1" si="117"/>
        <v>100.00183452577508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IFERROR(__xludf.DUMMYFUNCTION("IMPORTRANGE(""https://docs.google.com/spreadsheets/d/1SX6NBoVAgQJ6U1MVXOaj8PK2l7WJ3RER9xtqwdhxkhw/edit?usp=sharing"",""ลพบุรี!I369"")"),6394)</f>
        <v>6394</v>
      </c>
      <c r="J474" s="420">
        <f ca="1">IFERROR(__xludf.DUMMYFUNCTION("IMPORTRANGE(""https://docs.google.com/spreadsheets/d/1SX6NBoVAgQJ6U1MVXOaj8PK2l7WJ3RER9xtqwdhxkhw/edit?usp=sharing"",""ลพบุรี!J369"")"),6394)</f>
        <v>6394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IFERROR(__xludf.DUMMYFUNCTION("IMPORTRANGE(""https://docs.google.com/spreadsheets/d/1SX6NBoVAgQJ6U1MVXOaj8PK2l7WJ3RER9xtqwdhxkhw/edit?usp=sharing"",""ลพบุรี!I370"")"),0)</f>
        <v>0</v>
      </c>
      <c r="J475" s="189">
        <f ca="1">IFERROR(__xludf.DUMMYFUNCTION("IMPORTRANGE(""https://docs.google.com/spreadsheets/d/1SX6NBoVAgQJ6U1MVXOaj8PK2l7WJ3RER9xtqwdhxkhw/edit?usp=sharing"",""ลพบุรี!J370"")"),76932)</f>
        <v>76932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IFERROR(__xludf.DUMMYFUNCTION("IMPORTRANGE(""https://docs.google.com/spreadsheets/d/1SX6NBoVAgQJ6U1MVXOaj8PK2l7WJ3RER9xtqwdhxkhw/edit?usp=sharing"",""ลพบุรี!I371"")"),0)</f>
        <v>0</v>
      </c>
      <c r="J476" s="189">
        <v>4812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IFERROR(__xludf.DUMMYFUNCTION("IMPORTRANGE(""https://docs.google.com/spreadsheets/d/1SX6NBoVAgQJ6U1MVXOaj8PK2l7WJ3RER9xtqwdhxkhw/edit?usp=sharing"",""ลพบุรี!I372"")"),0)</f>
        <v>0</v>
      </c>
      <c r="J477" s="189">
        <f ca="1">IFERROR(__xludf.DUMMYFUNCTION("IMPORTRANGE(""https://docs.google.com/spreadsheets/d/1SX6NBoVAgQJ6U1MVXOaj8PK2l7WJ3RER9xtqwdhxkhw/edit?usp=sharing"",""ลพบุรี!J372"")"),28032)</f>
        <v>28032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IFERROR(__xludf.DUMMYFUNCTION("IMPORTRANGE(""https://docs.google.com/spreadsheets/d/1SX6NBoVAgQJ6U1MVXOaj8PK2l7WJ3RER9xtqwdhxkhw/edit?usp=sharing"",""ลพบุรี!I373"")"),0)</f>
        <v>0</v>
      </c>
      <c r="J478" s="189">
        <f ca="1">IFERROR(__xludf.DUMMYFUNCTION("IMPORTRANGE(""https://docs.google.com/spreadsheets/d/1SX6NBoVAgQJ6U1MVXOaj8PK2l7WJ3RER9xtqwdhxkhw/edit?usp=sharing"",""ลพบุรี!J373"")"),1366)</f>
        <v>1366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IFERROR(__xludf.DUMMYFUNCTION("IMPORTRANGE(""https://docs.google.com/spreadsheets/d/1SX6NBoVAgQJ6U1MVXOaj8PK2l7WJ3RER9xtqwdhxkhw/edit?usp=sharing"",""ลพบุรี!I374"")"),0)</f>
        <v>0</v>
      </c>
      <c r="J479" s="189">
        <f ca="1">IFERROR(__xludf.DUMMYFUNCTION("IMPORTRANGE(""https://docs.google.com/spreadsheets/d/1SX6NBoVAgQJ6U1MVXOaj8PK2l7WJ3RER9xtqwdhxkhw/edit?usp=sharing"",""ลพบุรี!J374"")"),4058)</f>
        <v>4058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IFERROR(__xludf.DUMMYFUNCTION("IMPORTRANGE(""https://docs.google.com/spreadsheets/d/1SX6NBoVAgQJ6U1MVXOaj8PK2l7WJ3RER9xtqwdhxkhw/edit?usp=sharing"",""ลพบุรี!I375"")"),0)</f>
        <v>0</v>
      </c>
      <c r="J480" s="189">
        <f ca="1">IFERROR(__xludf.DUMMYFUNCTION("IMPORTRANGE(""https://docs.google.com/spreadsheets/d/1SX6NBoVAgQJ6U1MVXOaj8PK2l7WJ3RER9xtqwdhxkhw/edit?usp=sharing"",""ลพบุรี!J375"")"),216)</f>
        <v>216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IFERROR(__xludf.DUMMYFUNCTION("IMPORTRANGE(""https://docs.google.com/spreadsheets/d/1SX6NBoVAgQJ6U1MVXOaj8PK2l7WJ3RER9xtqwdhxkhw/edit?usp=sharing"",""ลพบุรี!I376"")"),109020)</f>
        <v>109020</v>
      </c>
      <c r="J481" s="420">
        <f ca="1">IFERROR(__xludf.DUMMYFUNCTION("IMPORTRANGE(""https://docs.google.com/spreadsheets/d/1SX6NBoVAgQJ6U1MVXOaj8PK2l7WJ3RER9xtqwdhxkhw/edit?usp=sharing"",""ลพบุรี!J376"")"),0)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IFERROR(__xludf.DUMMYFUNCTION("IMPORTRANGE(""https://docs.google.com/spreadsheets/d/1SX6NBoVAgQJ6U1MVXOaj8PK2l7WJ3RER9xtqwdhxkhw/edit?usp=sharing"",""ลพบุรี!I377"")"),6394)</f>
        <v>6394</v>
      </c>
      <c r="J482" s="420">
        <f ca="1">IFERROR(__xludf.DUMMYFUNCTION("IMPORTRANGE(""https://docs.google.com/spreadsheets/d/1SX6NBoVAgQJ6U1MVXOaj8PK2l7WJ3RER9xtqwdhxkhw/edit?usp=sharing"",""ลพบุรี!J377"")"),0)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IFERROR(__xludf.DUMMYFUNCTION("IMPORTRANGE(""https://docs.google.com/spreadsheets/d/1SX6NBoVAgQJ6U1MVXOaj8PK2l7WJ3RER9xtqwdhxkhw/edit?usp=sharing"",""ลพบุรี!I378"")"),0)</f>
        <v>0</v>
      </c>
      <c r="J483" s="189">
        <f ca="1">IFERROR(__xludf.DUMMYFUNCTION("IMPORTRANGE(""https://docs.google.com/spreadsheets/d/1SX6NBoVAgQJ6U1MVXOaj8PK2l7WJ3RER9xtqwdhxkhw/edit?usp=sharing"",""ลพบุรี!J378"")"),0)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IFERROR(__xludf.DUMMYFUNCTION("IMPORTRANGE(""https://docs.google.com/spreadsheets/d/1SX6NBoVAgQJ6U1MVXOaj8PK2l7WJ3RER9xtqwdhxkhw/edit?usp=sharing"",""ลพบุรี!I379"")"),0)</f>
        <v>0</v>
      </c>
      <c r="J484" s="189">
        <f ca="1">IFERROR(__xludf.DUMMYFUNCTION("IMPORTRANGE(""https://docs.google.com/spreadsheets/d/1SX6NBoVAgQJ6U1MVXOaj8PK2l7WJ3RER9xtqwdhxkhw/edit?usp=sharing"",""ลพบุรี!J379"")"),0)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IFERROR(__xludf.DUMMYFUNCTION("IMPORTRANGE(""https://docs.google.com/spreadsheets/d/1SX6NBoVAgQJ6U1MVXOaj8PK2l7WJ3RER9xtqwdhxkhw/edit?usp=sharing"",""ลพบุรี!I380"")"),0)</f>
        <v>0</v>
      </c>
      <c r="J485" s="189">
        <f ca="1">IFERROR(__xludf.DUMMYFUNCTION("IMPORTRANGE(""https://docs.google.com/spreadsheets/d/1SX6NBoVAgQJ6U1MVXOaj8PK2l7WJ3RER9xtqwdhxkhw/edit?usp=sharing"",""ลพบุรี!J380"")"),0)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IFERROR(__xludf.DUMMYFUNCTION("IMPORTRANGE(""https://docs.google.com/spreadsheets/d/1SX6NBoVAgQJ6U1MVXOaj8PK2l7WJ3RER9xtqwdhxkhw/edit?usp=sharing"",""ลพบุรี!I381"")"),0)</f>
        <v>0</v>
      </c>
      <c r="J486" s="189">
        <f ca="1">IFERROR(__xludf.DUMMYFUNCTION("IMPORTRANGE(""https://docs.google.com/spreadsheets/d/1SX6NBoVAgQJ6U1MVXOaj8PK2l7WJ3RER9xtqwdhxkhw/edit?usp=sharing"",""ลพบุรี!J381"")"),0)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IFERROR(__xludf.DUMMYFUNCTION("IMPORTRANGE(""https://docs.google.com/spreadsheets/d/1SX6NBoVAgQJ6U1MVXOaj8PK2l7WJ3RER9xtqwdhxkhw/edit?usp=sharing"",""ลพบุรี!I382"")"),0)</f>
        <v>0</v>
      </c>
      <c r="J487" s="420">
        <f ca="1">IFERROR(__xludf.DUMMYFUNCTION("IMPORTRANGE(""https://docs.google.com/spreadsheets/d/1SX6NBoVAgQJ6U1MVXOaj8PK2l7WJ3RER9xtqwdhxkhw/edit?usp=sharing"",""ลพบุรี!J382"")"),0)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IFERROR(__xludf.DUMMYFUNCTION("IMPORTRANGE(""https://docs.google.com/spreadsheets/d/1SX6NBoVAgQJ6U1MVXOaj8PK2l7WJ3RER9xtqwdhxkhw/edit?usp=sharing"",""ลพบุรี!I383"")"),0)</f>
        <v>0</v>
      </c>
      <c r="J488" s="420">
        <f ca="1">IFERROR(__xludf.DUMMYFUNCTION("IMPORTRANGE(""https://docs.google.com/spreadsheets/d/1SX6NBoVAgQJ6U1MVXOaj8PK2l7WJ3RER9xtqwdhxkhw/edit?usp=sharing"",""ลพบุรี!J383"")"),0)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IFERROR(__xludf.DUMMYFUNCTION("IMPORTRANGE(""https://docs.google.com/spreadsheets/d/1SX6NBoVAgQJ6U1MVXOaj8PK2l7WJ3RER9xtqwdhxkhw/edit?usp=sharing"",""ลพบุรี!I384"")"),0)</f>
        <v>0</v>
      </c>
      <c r="J489" s="189">
        <f ca="1">IFERROR(__xludf.DUMMYFUNCTION("IMPORTRANGE(""https://docs.google.com/spreadsheets/d/1SX6NBoVAgQJ6U1MVXOaj8PK2l7WJ3RER9xtqwdhxkhw/edit?usp=sharing"",""ลพบุรี!J384"")"),0)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IFERROR(__xludf.DUMMYFUNCTION("IMPORTRANGE(""https://docs.google.com/spreadsheets/d/1SX6NBoVAgQJ6U1MVXOaj8PK2l7WJ3RER9xtqwdhxkhw/edit?usp=sharing"",""ลพบุรี!I385"")"),0)</f>
        <v>0</v>
      </c>
      <c r="J490" s="189">
        <f ca="1">IFERROR(__xludf.DUMMYFUNCTION("IMPORTRANGE(""https://docs.google.com/spreadsheets/d/1SX6NBoVAgQJ6U1MVXOaj8PK2l7WJ3RER9xtqwdhxkhw/edit?usp=sharing"",""ลพบุรี!J385"")"),0)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IFERROR(__xludf.DUMMYFUNCTION("IMPORTRANGE(""https://docs.google.com/spreadsheets/d/1SX6NBoVAgQJ6U1MVXOaj8PK2l7WJ3RER9xtqwdhxkhw/edit?usp=sharing"",""ลพบุรี!I386"")"),0)</f>
        <v>0</v>
      </c>
      <c r="J491" s="189">
        <f ca="1">IFERROR(__xludf.DUMMYFUNCTION("IMPORTRANGE(""https://docs.google.com/spreadsheets/d/1SX6NBoVAgQJ6U1MVXOaj8PK2l7WJ3RER9xtqwdhxkhw/edit?usp=sharing"",""ลพบุรี!J386"")"),0)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IFERROR(__xludf.DUMMYFUNCTION("IMPORTRANGE(""https://docs.google.com/spreadsheets/d/1SX6NBoVAgQJ6U1MVXOaj8PK2l7WJ3RER9xtqwdhxkhw/edit?usp=sharing"",""ลพบุรี!I387"")"),0)</f>
        <v>0</v>
      </c>
      <c r="J492" s="189">
        <f ca="1">IFERROR(__xludf.DUMMYFUNCTION("IMPORTRANGE(""https://docs.google.com/spreadsheets/d/1SX6NBoVAgQJ6U1MVXOaj8PK2l7WJ3RER9xtqwdhxkhw/edit?usp=sharing"",""ลพบุรี!J387"")"),0)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IFERROR(__xludf.DUMMYFUNCTION("IMPORTRANGE(""https://docs.google.com/spreadsheets/d/1SX6NBoVAgQJ6U1MVXOaj8PK2l7WJ3RER9xtqwdhxkhw/edit?usp=sharing"",""ลพบุรี!I388"")"),0)</f>
        <v>0</v>
      </c>
      <c r="J493" s="189">
        <f ca="1">IFERROR(__xludf.DUMMYFUNCTION("IMPORTRANGE(""https://docs.google.com/spreadsheets/d/1SX6NBoVAgQJ6U1MVXOaj8PK2l7WJ3RER9xtqwdhxkhw/edit?usp=sharing"",""ลพบุรี!J388"")"),0)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IFERROR(__xludf.DUMMYFUNCTION("IMPORTRANGE(""https://docs.google.com/spreadsheets/d/1SX6NBoVAgQJ6U1MVXOaj8PK2l7WJ3RER9xtqwdhxkhw/edit?usp=sharing"",""ลพบุรี!I389"")"),0)</f>
        <v>0</v>
      </c>
      <c r="J494" s="436">
        <f ca="1">IFERROR(__xludf.DUMMYFUNCTION("IMPORTRANGE(""https://docs.google.com/spreadsheets/d/1SX6NBoVAgQJ6U1MVXOaj8PK2l7WJ3RER9xtqwdhxkhw/edit?usp=sharing"",""ลพบุรี!J389"")"),0)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IFERROR(__xludf.DUMMYFUNCTION("IMPORTRANGE(""https://docs.google.com/spreadsheets/d/1SX6NBoVAgQJ6U1MVXOaj8PK2l7WJ3RER9xtqwdhxkhw/edit?usp=sharing"",""ลพบุรี!I390"")"),0)</f>
        <v>0</v>
      </c>
      <c r="J495" s="436">
        <f ca="1">IFERROR(__xludf.DUMMYFUNCTION("IMPORTRANGE(""https://docs.google.com/spreadsheets/d/1SX6NBoVAgQJ6U1MVXOaj8PK2l7WJ3RER9xtqwdhxkhw/edit?usp=sharing"",""ลพบุรี!J390"")"),0)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IFERROR(__xludf.DUMMYFUNCTION("IMPORTRANGE(""https://docs.google.com/spreadsheets/d/1SX6NBoVAgQJ6U1MVXOaj8PK2l7WJ3RER9xtqwdhxkhw/edit?usp=sharing"",""ลพบุรี!I391"")"),0)</f>
        <v>0</v>
      </c>
      <c r="J496" s="436">
        <f ca="1">IFERROR(__xludf.DUMMYFUNCTION("IMPORTRANGE(""https://docs.google.com/spreadsheets/d/1SX6NBoVAgQJ6U1MVXOaj8PK2l7WJ3RER9xtqwdhxkhw/edit?usp=sharing"",""ลพบุรี!J391"")"),0)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IFERROR(__xludf.DUMMYFUNCTION("IMPORTRANGE(""https://docs.google.com/spreadsheets/d/1SX6NBoVAgQJ6U1MVXOaj8PK2l7WJ3RER9xtqwdhxkhw/edit?usp=sharing"",""ลพบุรี!I392"")"),5606)</f>
        <v>5606</v>
      </c>
      <c r="J497" s="443">
        <f ca="1">IFERROR(__xludf.DUMMYFUNCTION("IMPORTRANGE(""https://docs.google.com/spreadsheets/d/1SX6NBoVAgQJ6U1MVXOaj8PK2l7WJ3RER9xtqwdhxkhw/edit?usp=sharing"",""ลพบุรี!J392"")"),0)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IFERROR(__xludf.DUMMYFUNCTION("IMPORTRANGE(""https://docs.google.com/spreadsheets/d/1SX6NBoVAgQJ6U1MVXOaj8PK2l7WJ3RER9xtqwdhxkhw/edit?usp=sharing"",""ลพบุรี!I393"")"),5606)</f>
        <v>5606</v>
      </c>
      <c r="J498" s="420">
        <f ca="1">IFERROR(__xludf.DUMMYFUNCTION("IMPORTRANGE(""https://docs.google.com/spreadsheets/d/1SX6NBoVAgQJ6U1MVXOaj8PK2l7WJ3RER9xtqwdhxkhw/edit?usp=sharing"",""ลพบุรี!J393"")"),0)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IFERROR(__xludf.DUMMYFUNCTION("IMPORTRANGE(""https://docs.google.com/spreadsheets/d/1SX6NBoVAgQJ6U1MVXOaj8PK2l7WJ3RER9xtqwdhxkhw/edit?usp=sharing"",""ลพบุรี!I394"")"),328)</f>
        <v>328</v>
      </c>
      <c r="J499" s="420">
        <f ca="1">IFERROR(__xludf.DUMMYFUNCTION("IMPORTRANGE(""https://docs.google.com/spreadsheets/d/1SX6NBoVAgQJ6U1MVXOaj8PK2l7WJ3RER9xtqwdhxkhw/edit?usp=sharing"",""ลพบุรี!J394"")"),0)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IFERROR(__xludf.DUMMYFUNCTION("IMPORTRANGE(""https://docs.google.com/spreadsheets/d/1SX6NBoVAgQJ6U1MVXOaj8PK2l7WJ3RER9xtqwdhxkhw/edit?usp=sharing"",""ลพบุรี!I395"")"),0)</f>
        <v>0</v>
      </c>
      <c r="J500" s="162">
        <f ca="1">IFERROR(__xludf.DUMMYFUNCTION("IMPORTRANGE(""https://docs.google.com/spreadsheets/d/1SX6NBoVAgQJ6U1MVXOaj8PK2l7WJ3RER9xtqwdhxkhw/edit?usp=sharing"",""ลพบุรี!J395"")"),0)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IFERROR(__xludf.DUMMYFUNCTION("IMPORTRANGE(""https://docs.google.com/spreadsheets/d/1SX6NBoVAgQJ6U1MVXOaj8PK2l7WJ3RER9xtqwdhxkhw/edit?usp=sharing"",""ลพบุรี!I396"")"),0)</f>
        <v>0</v>
      </c>
      <c r="J501" s="162">
        <f ca="1">IFERROR(__xludf.DUMMYFUNCTION("IMPORTRANGE(""https://docs.google.com/spreadsheets/d/1SX6NBoVAgQJ6U1MVXOaj8PK2l7WJ3RER9xtqwdhxkhw/edit?usp=sharing"",""ลพบุรี!J396"")"),0)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IFERROR(__xludf.DUMMYFUNCTION("IMPORTRANGE(""https://docs.google.com/spreadsheets/d/1SX6NBoVAgQJ6U1MVXOaj8PK2l7WJ3RER9xtqwdhxkhw/edit?usp=sharing"",""ลพบุรี!I397"")"),0)</f>
        <v>0</v>
      </c>
      <c r="J502" s="189">
        <f ca="1">IFERROR(__xludf.DUMMYFUNCTION("IMPORTRANGE(""https://docs.google.com/spreadsheets/d/1SX6NBoVAgQJ6U1MVXOaj8PK2l7WJ3RER9xtqwdhxkhw/edit?usp=sharing"",""ลพบุรี!J397"")"),0)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IFERROR(__xludf.DUMMYFUNCTION("IMPORTRANGE(""https://docs.google.com/spreadsheets/d/1SX6NBoVAgQJ6U1MVXOaj8PK2l7WJ3RER9xtqwdhxkhw/edit?usp=sharing"",""ลพบุรี!I398"")"),0)</f>
        <v>0</v>
      </c>
      <c r="J503" s="198">
        <f ca="1">IFERROR(__xludf.DUMMYFUNCTION("IMPORTRANGE(""https://docs.google.com/spreadsheets/d/1SX6NBoVAgQJ6U1MVXOaj8PK2l7WJ3RER9xtqwdhxkhw/edit?usp=sharing"",""ลพบุรี!J398"")"),0)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IFERROR(__xludf.DUMMYFUNCTION("IMPORTRANGE(""https://docs.google.com/spreadsheets/d/1SX6NBoVAgQJ6U1MVXOaj8PK2l7WJ3RER9xtqwdhxkhw/edit?usp=sharing"",""ลพบุรี!I399"")"),0)</f>
        <v>0</v>
      </c>
      <c r="J504" s="189">
        <f ca="1">IFERROR(__xludf.DUMMYFUNCTION("IMPORTRANGE(""https://docs.google.com/spreadsheets/d/1SX6NBoVAgQJ6U1MVXOaj8PK2l7WJ3RER9xtqwdhxkhw/edit?usp=sharing"",""ลพบุรี!J399"")"),0)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IFERROR(__xludf.DUMMYFUNCTION("IMPORTRANGE(""https://docs.google.com/spreadsheets/d/1SX6NBoVAgQJ6U1MVXOaj8PK2l7WJ3RER9xtqwdhxkhw/edit?usp=sharing"",""ลพบุรี!I400"")"),0)</f>
        <v>0</v>
      </c>
      <c r="J505" s="198">
        <f ca="1">IFERROR(__xludf.DUMMYFUNCTION("IMPORTRANGE(""https://docs.google.com/spreadsheets/d/1SX6NBoVAgQJ6U1MVXOaj8PK2l7WJ3RER9xtqwdhxkhw/edit?usp=sharing"",""ลพบุรี!J400"")"),0)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IFERROR(__xludf.DUMMYFUNCTION("IMPORTRANGE(""https://docs.google.com/spreadsheets/d/1SX6NBoVAgQJ6U1MVXOaj8PK2l7WJ3RER9xtqwdhxkhw/edit?usp=sharing"",""ลพบุรี!I401"")"),0)</f>
        <v>0</v>
      </c>
      <c r="J506" s="189">
        <f ca="1">IFERROR(__xludf.DUMMYFUNCTION("IMPORTRANGE(""https://docs.google.com/spreadsheets/d/1SX6NBoVAgQJ6U1MVXOaj8PK2l7WJ3RER9xtqwdhxkhw/edit?usp=sharing"",""ลพบุรี!J401"")"),0)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IFERROR(__xludf.DUMMYFUNCTION("IMPORTRANGE(""https://docs.google.com/spreadsheets/d/1SX6NBoVAgQJ6U1MVXOaj8PK2l7WJ3RER9xtqwdhxkhw/edit?usp=sharing"",""ลพบุรี!I402"")"),0)</f>
        <v>0</v>
      </c>
      <c r="J507" s="198">
        <f ca="1">IFERROR(__xludf.DUMMYFUNCTION("IMPORTRANGE(""https://docs.google.com/spreadsheets/d/1SX6NBoVAgQJ6U1MVXOaj8PK2l7WJ3RER9xtqwdhxkhw/edit?usp=sharing"",""ลพบุรี!J402"")"),0)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IFERROR(__xludf.DUMMYFUNCTION("IMPORTRANGE(""https://docs.google.com/spreadsheets/d/1SX6NBoVAgQJ6U1MVXOaj8PK2l7WJ3RER9xtqwdhxkhw/edit?usp=sharing"",""ลพบุรี!I403"")"),0)</f>
        <v>0</v>
      </c>
      <c r="J508" s="162">
        <f ca="1">IFERROR(__xludf.DUMMYFUNCTION("IMPORTRANGE(""https://docs.google.com/spreadsheets/d/1SX6NBoVAgQJ6U1MVXOaj8PK2l7WJ3RER9xtqwdhxkhw/edit?usp=sharing"",""ลพบุรี!J403"")"),0)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IFERROR(__xludf.DUMMYFUNCTION("IMPORTRANGE(""https://docs.google.com/spreadsheets/d/1SX6NBoVAgQJ6U1MVXOaj8PK2l7WJ3RER9xtqwdhxkhw/edit?usp=sharing"",""ลพบุรี!I404"")"),0)</f>
        <v>0</v>
      </c>
      <c r="J509" s="162">
        <f ca="1">IFERROR(__xludf.DUMMYFUNCTION("IMPORTRANGE(""https://docs.google.com/spreadsheets/d/1SX6NBoVAgQJ6U1MVXOaj8PK2l7WJ3RER9xtqwdhxkhw/edit?usp=sharing"",""ลพบุรี!J404"")"),0)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IFERROR(__xludf.DUMMYFUNCTION("IMPORTRANGE(""https://docs.google.com/spreadsheets/d/1SX6NBoVAgQJ6U1MVXOaj8PK2l7WJ3RER9xtqwdhxkhw/edit?usp=sharing"",""ลพบุรี!I405"")"),0)</f>
        <v>0</v>
      </c>
      <c r="J510" s="198">
        <f ca="1">IFERROR(__xludf.DUMMYFUNCTION("IMPORTRANGE(""https://docs.google.com/spreadsheets/d/1SX6NBoVAgQJ6U1MVXOaj8PK2l7WJ3RER9xtqwdhxkhw/edit?usp=sharing"",""ลพบุรี!J405"")"),0)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IFERROR(__xludf.DUMMYFUNCTION("IMPORTRANGE(""https://docs.google.com/spreadsheets/d/1SX6NBoVAgQJ6U1MVXOaj8PK2l7WJ3RER9xtqwdhxkhw/edit?usp=sharing"",""ลพบุรี!I406"")"),0)</f>
        <v>0</v>
      </c>
      <c r="J511" s="198">
        <f ca="1">IFERROR(__xludf.DUMMYFUNCTION("IMPORTRANGE(""https://docs.google.com/spreadsheets/d/1SX6NBoVAgQJ6U1MVXOaj8PK2l7WJ3RER9xtqwdhxkhw/edit?usp=sharing"",""ลพบุรี!J406"")"),0)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IFERROR(__xludf.DUMMYFUNCTION("IMPORTRANGE(""https://docs.google.com/spreadsheets/d/1SX6NBoVAgQJ6U1MVXOaj8PK2l7WJ3RER9xtqwdhxkhw/edit?usp=sharing"",""ลพบุรี!I407"")"),0)</f>
        <v>0</v>
      </c>
      <c r="J512" s="198">
        <f ca="1">IFERROR(__xludf.DUMMYFUNCTION("IMPORTRANGE(""https://docs.google.com/spreadsheets/d/1SX6NBoVAgQJ6U1MVXOaj8PK2l7WJ3RER9xtqwdhxkhw/edit?usp=sharing"",""ลพบุรี!J407"")"),0)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IFERROR(__xludf.DUMMYFUNCTION("IMPORTRANGE(""https://docs.google.com/spreadsheets/d/1SX6NBoVAgQJ6U1MVXOaj8PK2l7WJ3RER9xtqwdhxkhw/edit?usp=sharing"",""ลพบุรี!I408"")"),0)</f>
        <v>0</v>
      </c>
      <c r="J513" s="198">
        <f ca="1">IFERROR(__xludf.DUMMYFUNCTION("IMPORTRANGE(""https://docs.google.com/spreadsheets/d/1SX6NBoVAgQJ6U1MVXOaj8PK2l7WJ3RER9xtqwdhxkhw/edit?usp=sharing"",""ลพบุรี!J408"")"),0)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IFERROR(__xludf.DUMMYFUNCTION("IMPORTRANGE(""https://docs.google.com/spreadsheets/d/1SX6NBoVAgQJ6U1MVXOaj8PK2l7WJ3RER9xtqwdhxkhw/edit?usp=sharing"",""ลพบุรี!I409"")"),0)</f>
        <v>0</v>
      </c>
      <c r="J514" s="198">
        <f ca="1">IFERROR(__xludf.DUMMYFUNCTION("IMPORTRANGE(""https://docs.google.com/spreadsheets/d/1SX6NBoVAgQJ6U1MVXOaj8PK2l7WJ3RER9xtqwdhxkhw/edit?usp=sharing"",""ลพบุรี!J409"")"),0)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IFERROR(__xludf.DUMMYFUNCTION("IMPORTRANGE(""https://docs.google.com/spreadsheets/d/1SX6NBoVAgQJ6U1MVXOaj8PK2l7WJ3RER9xtqwdhxkhw/edit?usp=sharing"",""ลพบุรี!I410"")"),0)</f>
        <v>0</v>
      </c>
      <c r="J515" s="198">
        <f ca="1">IFERROR(__xludf.DUMMYFUNCTION("IMPORTRANGE(""https://docs.google.com/spreadsheets/d/1SX6NBoVAgQJ6U1MVXOaj8PK2l7WJ3RER9xtqwdhxkhw/edit?usp=sharing"",""ลพบุรี!J410"")"),0)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IFERROR(__xludf.DUMMYFUNCTION("IMPORTRANGE(""https://docs.google.com/spreadsheets/d/1SX6NBoVAgQJ6U1MVXOaj8PK2l7WJ3RER9xtqwdhxkhw/edit?usp=sharing"",""ลพบุรี!I411"")"),0)</f>
        <v>0</v>
      </c>
      <c r="J516" s="267">
        <f ca="1">IFERROR(__xludf.DUMMYFUNCTION("IMPORTRANGE(""https://docs.google.com/spreadsheets/d/1SX6NBoVAgQJ6U1MVXOaj8PK2l7WJ3RER9xtqwdhxkhw/edit?usp=sharing"",""ลพบุรี!J411"")"),0)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IFERROR(__xludf.DUMMYFUNCTION("IMPORTRANGE(""https://docs.google.com/spreadsheets/d/1SX6NBoVAgQJ6U1MVXOaj8PK2l7WJ3RER9xtqwdhxkhw/edit?usp=sharing"",""ลพบุรี!I412"")"),0)</f>
        <v>0</v>
      </c>
      <c r="J517" s="284">
        <f ca="1">IFERROR(__xludf.DUMMYFUNCTION("IMPORTRANGE(""https://docs.google.com/spreadsheets/d/1SX6NBoVAgQJ6U1MVXOaj8PK2l7WJ3RER9xtqwdhxkhw/edit?usp=sharing"",""ลพบุรี!J412"")"),0)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IFERROR(__xludf.DUMMYFUNCTION("IMPORTRANGE(""https://docs.google.com/spreadsheets/d/1SX6NBoVAgQJ6U1MVXOaj8PK2l7WJ3RER9xtqwdhxkhw/edit?usp=sharing"",""ลพบุรี!I413"")"),0)</f>
        <v>0</v>
      </c>
      <c r="J518" s="284">
        <f ca="1">IFERROR(__xludf.DUMMYFUNCTION("IMPORTRANGE(""https://docs.google.com/spreadsheets/d/1SX6NBoVAgQJ6U1MVXOaj8PK2l7WJ3RER9xtqwdhxkhw/edit?usp=sharing"",""ลพบุรี!J413"")"),0)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IFERROR(__xludf.DUMMYFUNCTION("IMPORTRANGE(""https://docs.google.com/spreadsheets/d/1SX6NBoVAgQJ6U1MVXOaj8PK2l7WJ3RER9xtqwdhxkhw/edit?usp=sharing"",""ลพบุรี!I414"")"),0)</f>
        <v>0</v>
      </c>
      <c r="J519" s="188">
        <f ca="1">IFERROR(__xludf.DUMMYFUNCTION("IMPORTRANGE(""https://docs.google.com/spreadsheets/d/1SX6NBoVAgQJ6U1MVXOaj8PK2l7WJ3RER9xtqwdhxkhw/edit?usp=sharing"",""ลพบุรี!J414"")"),0)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IFERROR(__xludf.DUMMYFUNCTION("IMPORTRANGE(""https://docs.google.com/spreadsheets/d/1SX6NBoVAgQJ6U1MVXOaj8PK2l7WJ3RER9xtqwdhxkhw/edit?usp=sharing"",""ลพบุรี!I415"")"),0)</f>
        <v>0</v>
      </c>
      <c r="J520" s="188">
        <f ca="1">IFERROR(__xludf.DUMMYFUNCTION("IMPORTRANGE(""https://docs.google.com/spreadsheets/d/1SX6NBoVAgQJ6U1MVXOaj8PK2l7WJ3RER9xtqwdhxkhw/edit?usp=sharing"",""ลพบุรี!J415"")"),0)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IFERROR(__xludf.DUMMYFUNCTION("IMPORTRANGE(""https://docs.google.com/spreadsheets/d/1SX6NBoVAgQJ6U1MVXOaj8PK2l7WJ3RER9xtqwdhxkhw/edit?usp=sharing"",""ลพบุรี!I416"")"),0)</f>
        <v>0</v>
      </c>
      <c r="J521" s="188">
        <f ca="1">IFERROR(__xludf.DUMMYFUNCTION("IMPORTRANGE(""https://docs.google.com/spreadsheets/d/1SX6NBoVAgQJ6U1MVXOaj8PK2l7WJ3RER9xtqwdhxkhw/edit?usp=sharing"",""ลพบุรี!J416"")"),0)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IFERROR(__xludf.DUMMYFUNCTION("IMPORTRANGE(""https://docs.google.com/spreadsheets/d/1SX6NBoVAgQJ6U1MVXOaj8PK2l7WJ3RER9xtqwdhxkhw/edit?usp=sharing"",""ลพบุรี!I417"")"),0)</f>
        <v>0</v>
      </c>
      <c r="J522" s="188">
        <f ca="1">IFERROR(__xludf.DUMMYFUNCTION("IMPORTRANGE(""https://docs.google.com/spreadsheets/d/1SX6NBoVAgQJ6U1MVXOaj8PK2l7WJ3RER9xtqwdhxkhw/edit?usp=sharing"",""ลพบุรี!J417"")"),0)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IFERROR(__xludf.DUMMYFUNCTION("IMPORTRANGE(""https://docs.google.com/spreadsheets/d/1SX6NBoVAgQJ6U1MVXOaj8PK2l7WJ3RER9xtqwdhxkhw/edit?usp=sharing"",""ลพบุรี!I418"")"),0)</f>
        <v>0</v>
      </c>
      <c r="J523" s="188">
        <f ca="1">IFERROR(__xludf.DUMMYFUNCTION("IMPORTRANGE(""https://docs.google.com/spreadsheets/d/1SX6NBoVAgQJ6U1MVXOaj8PK2l7WJ3RER9xtqwdhxkhw/edit?usp=sharing"",""ลพบุรี!J418"")"),0)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IFERROR(__xludf.DUMMYFUNCTION("IMPORTRANGE(""https://docs.google.com/spreadsheets/d/1SX6NBoVAgQJ6U1MVXOaj8PK2l7WJ3RER9xtqwdhxkhw/edit?usp=sharing"",""ลพบุรี!I419"")"),0)</f>
        <v>0</v>
      </c>
      <c r="J524" s="188">
        <f ca="1">IFERROR(__xludf.DUMMYFUNCTION("IMPORTRANGE(""https://docs.google.com/spreadsheets/d/1SX6NBoVAgQJ6U1MVXOaj8PK2l7WJ3RER9xtqwdhxkhw/edit?usp=sharing"",""ลพบุรี!J419"")"),0)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IFERROR(__xludf.DUMMYFUNCTION("IMPORTRANGE(""https://docs.google.com/spreadsheets/d/1SX6NBoVAgQJ6U1MVXOaj8PK2l7WJ3RER9xtqwdhxkhw/edit?usp=sharing"",""ลพบุรี!I420"")"),0)</f>
        <v>0</v>
      </c>
      <c r="J525" s="284">
        <f ca="1">IFERROR(__xludf.DUMMYFUNCTION("IMPORTRANGE(""https://docs.google.com/spreadsheets/d/1SX6NBoVAgQJ6U1MVXOaj8PK2l7WJ3RER9xtqwdhxkhw/edit?usp=sharing"",""ลพบุรี!J420"")"),0)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IFERROR(__xludf.DUMMYFUNCTION("IMPORTRANGE(""https://docs.google.com/spreadsheets/d/1SX6NBoVAgQJ6U1MVXOaj8PK2l7WJ3RER9xtqwdhxkhw/edit?usp=sharing"",""ลพบุรี!I421"")"),0)</f>
        <v>0</v>
      </c>
      <c r="J526" s="284">
        <f ca="1">IFERROR(__xludf.DUMMYFUNCTION("IMPORTRANGE(""https://docs.google.com/spreadsheets/d/1SX6NBoVAgQJ6U1MVXOaj8PK2l7WJ3RER9xtqwdhxkhw/edit?usp=sharing"",""ลพบุรี!J421"")"),0)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IFERROR(__xludf.DUMMYFUNCTION("IMPORTRANGE(""https://docs.google.com/spreadsheets/d/1SX6NBoVAgQJ6U1MVXOaj8PK2l7WJ3RER9xtqwdhxkhw/edit?usp=sharing"",""ลพบุรี!I422"")"),0)</f>
        <v>0</v>
      </c>
      <c r="J527" s="198">
        <f ca="1">IFERROR(__xludf.DUMMYFUNCTION("IMPORTRANGE(""https://docs.google.com/spreadsheets/d/1SX6NBoVAgQJ6U1MVXOaj8PK2l7WJ3RER9xtqwdhxkhw/edit?usp=sharing"",""ลพบุรี!J422"")"),0)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IFERROR(__xludf.DUMMYFUNCTION("IMPORTRANGE(""https://docs.google.com/spreadsheets/d/1SX6NBoVAgQJ6U1MVXOaj8PK2l7WJ3RER9xtqwdhxkhw/edit?usp=sharing"",""ลพบุรี!I423"")"),0)</f>
        <v>0</v>
      </c>
      <c r="J528" s="198">
        <f ca="1">IFERROR(__xludf.DUMMYFUNCTION("IMPORTRANGE(""https://docs.google.com/spreadsheets/d/1SX6NBoVAgQJ6U1MVXOaj8PK2l7WJ3RER9xtqwdhxkhw/edit?usp=sharing"",""ลพบุรี!J423"")"),0)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IFERROR(__xludf.DUMMYFUNCTION("IMPORTRANGE(""https://docs.google.com/spreadsheets/d/1SX6NBoVAgQJ6U1MVXOaj8PK2l7WJ3RER9xtqwdhxkhw/edit?usp=sharing"",""ลพบุรี!I424"")"),0)</f>
        <v>0</v>
      </c>
      <c r="J529" s="198">
        <f ca="1">IFERROR(__xludf.DUMMYFUNCTION("IMPORTRANGE(""https://docs.google.com/spreadsheets/d/1SX6NBoVAgQJ6U1MVXOaj8PK2l7WJ3RER9xtqwdhxkhw/edit?usp=sharing"",""ลพบุรี!J424"")"),0)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IFERROR(__xludf.DUMMYFUNCTION("IMPORTRANGE(""https://docs.google.com/spreadsheets/d/1SX6NBoVAgQJ6U1MVXOaj8PK2l7WJ3RER9xtqwdhxkhw/edit?usp=sharing"",""ลพบุรี!I425"")"),0)</f>
        <v>0</v>
      </c>
      <c r="J530" s="198">
        <f ca="1">IFERROR(__xludf.DUMMYFUNCTION("IMPORTRANGE(""https://docs.google.com/spreadsheets/d/1SX6NBoVAgQJ6U1MVXOaj8PK2l7WJ3RER9xtqwdhxkhw/edit?usp=sharing"",""ลพบุรี!J425"")"),0)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IFERROR(__xludf.DUMMYFUNCTION("IMPORTRANGE(""https://docs.google.com/spreadsheets/d/1SX6NBoVAgQJ6U1MVXOaj8PK2l7WJ3RER9xtqwdhxkhw/edit?usp=sharing"",""ลพบุรี!I426"")"),0)</f>
        <v>0</v>
      </c>
      <c r="J531" s="198">
        <f ca="1">IFERROR(__xludf.DUMMYFUNCTION("IMPORTRANGE(""https://docs.google.com/spreadsheets/d/1SX6NBoVAgQJ6U1MVXOaj8PK2l7WJ3RER9xtqwdhxkhw/edit?usp=sharing"",""ลพบุรี!J426"")"),0)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IFERROR(__xludf.DUMMYFUNCTION("IMPORTRANGE(""https://docs.google.com/spreadsheets/d/1SX6NBoVAgQJ6U1MVXOaj8PK2l7WJ3RER9xtqwdhxkhw/edit?usp=sharing"",""ลพบุรี!I427"")"),0)</f>
        <v>0</v>
      </c>
      <c r="J532" s="466">
        <f ca="1">IFERROR(__xludf.DUMMYFUNCTION("IMPORTRANGE(""https://docs.google.com/spreadsheets/d/1SX6NBoVAgQJ6U1MVXOaj8PK2l7WJ3RER9xtqwdhxkhw/edit?usp=sharing"",""ลพบุรี!J427"")"),0)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IFERROR(__xludf.DUMMYFUNCTION("IMPORTRANGE(""https://docs.google.com/spreadsheets/d/1SX6NBoVAgQJ6U1MVXOaj8PK2l7WJ3RER9xtqwdhxkhw/edit?usp=sharing"",""ลพบุรี!I428"")"),22)</f>
        <v>22</v>
      </c>
      <c r="J533" s="410">
        <f ca="1">IFERROR(__xludf.DUMMYFUNCTION("IMPORTRANGE(""https://docs.google.com/spreadsheets/d/1SX6NBoVAgQJ6U1MVXOaj8PK2l7WJ3RER9xtqwdhxkhw/edit?usp=sharing"",""ลพบุรี!J428"")"),22)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IFERROR(__xludf.DUMMYFUNCTION("IMPORTRANGE(""https://docs.google.com/spreadsheets/d/1SX6NBoVAgQJ6U1MVXOaj8PK2l7WJ3RER9xtqwdhxkhw/edit?usp=sharing"",""ลพบุรี!L428"")"),34340)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IFERROR(__xludf.DUMMYFUNCTION("IMPORTRANGE(""https://docs.google.com/spreadsheets/d/1SX6NBoVAgQJ6U1MVXOaj8PK2l7WJ3RER9xtqwdhxkhw/edit?usp=sharing"",""ลพบุรี!M428"")"),27220)</f>
        <v>27220</v>
      </c>
      <c r="O533" s="412">
        <f t="shared" ref="O533:O537" ca="1" si="118">+IF(L533&gt;0,N533*100/L533,0)</f>
        <v>79.266161910308682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IFERROR(__xludf.DUMMYFUNCTION("IMPORTRANGE(""https://docs.google.com/spreadsheets/d/1SX6NBoVAgQJ6U1MVXOaj8PK2l7WJ3RER9xtqwdhxkhw/edit?usp=sharing"",""ลพบุรี!L429"")"),0)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IFERROR(__xludf.DUMMYFUNCTION("IMPORTRANGE(""https://docs.google.com/spreadsheets/d/1SX6NBoVAgQJ6U1MVXOaj8PK2l7WJ3RER9xtqwdhxkhw/edit?usp=sharing"",""ลพบุรี!M429"")"),0)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IFERROR(__xludf.DUMMYFUNCTION("IMPORTRANGE(""https://docs.google.com/spreadsheets/d/1SX6NBoVAgQJ6U1MVXOaj8PK2l7WJ3RER9xtqwdhxkhw/edit?usp=sharing"",""ลพบุรี!L430"")"),34340)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IFERROR(__xludf.DUMMYFUNCTION("IMPORTRANGE(""https://docs.google.com/spreadsheets/d/1SX6NBoVAgQJ6U1MVXOaj8PK2l7WJ3RER9xtqwdhxkhw/edit?usp=sharing"",""ลพบุรี!M430"")"),27220)</f>
        <v>27220</v>
      </c>
      <c r="O535" s="169">
        <f t="shared" ca="1" si="118"/>
        <v>79.266161910308682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IFERROR(__xludf.DUMMYFUNCTION("IMPORTRANGE(""https://docs.google.com/spreadsheets/d/1SX6NBoVAgQJ6U1MVXOaj8PK2l7WJ3RER9xtqwdhxkhw/edit?usp=sharing"",""ลพบุรี!L431"")"),0)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IFERROR(__xludf.DUMMYFUNCTION("IMPORTRANGE(""https://docs.google.com/spreadsheets/d/1SX6NBoVAgQJ6U1MVXOaj8PK2l7WJ3RER9xtqwdhxkhw/edit?usp=sharing"",""ลพบุรี!M431"")"),0)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IFERROR(__xludf.DUMMYFUNCTION("IMPORTRANGE(""https://docs.google.com/spreadsheets/d/1SX6NBoVAgQJ6U1MVXOaj8PK2l7WJ3RER9xtqwdhxkhw/edit?usp=sharing"",""ลพบุรี!L432"")"),34340)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IFERROR(__xludf.DUMMYFUNCTION("IMPORTRANGE(""https://docs.google.com/spreadsheets/d/1SX6NBoVAgQJ6U1MVXOaj8PK2l7WJ3RER9xtqwdhxkhw/edit?usp=sharing"",""ลพบุรี!M432"")"),27220)</f>
        <v>27220</v>
      </c>
      <c r="O537" s="169">
        <f t="shared" ca="1" si="118"/>
        <v>79.266161910308682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IFERROR(__xludf.DUMMYFUNCTION("IMPORTRANGE(""https://docs.google.com/spreadsheets/d/1SX6NBoVAgQJ6U1MVXOaj8PK2l7WJ3RER9xtqwdhxkhw/edit?usp=sharing"",""ลพบุรี!M433"")"),18740)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IFERROR(__xludf.DUMMYFUNCTION("IMPORTRANGE(""https://docs.google.com/spreadsheets/d/1SX6NBoVAgQJ6U1MVXOaj8PK2l7WJ3RER9xtqwdhxkhw/edit?usp=sharing"",""ลพบุรี!M434"")"),0)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IFERROR(__xludf.DUMMYFUNCTION("IMPORTRANGE(""https://docs.google.com/spreadsheets/d/1SX6NBoVAgQJ6U1MVXOaj8PK2l7WJ3RER9xtqwdhxkhw/edit?usp=sharing"",""ลพบุรี!M435"")"),0)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IFERROR(__xludf.DUMMYFUNCTION("IMPORTRANGE(""https://docs.google.com/spreadsheets/d/1SX6NBoVAgQJ6U1MVXOaj8PK2l7WJ3RER9xtqwdhxkhw/edit?usp=sharing"",""ลพบุรี!M436"")"),8480)</f>
        <v>8480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IFERROR(__xludf.DUMMYFUNCTION("IMPORTRANGE(""https://docs.google.com/spreadsheets/d/1SX6NBoVAgQJ6U1MVXOaj8PK2l7WJ3RER9xtqwdhxkhw/edit?usp=sharing"",""ลพบุรี!J438"")"),0)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IFERROR(__xludf.DUMMYFUNCTION("IMPORTRANGE(""https://docs.google.com/spreadsheets/d/1SX6NBoVAgQJ6U1MVXOaj8PK2l7WJ3RER9xtqwdhxkhw/edit?usp=sharing"",""ลพบุรี!J439"")"),1)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IFERROR(__xludf.DUMMYFUNCTION("IMPORTRANGE(""https://docs.google.com/spreadsheets/d/1SX6NBoVAgQJ6U1MVXOaj8PK2l7WJ3RER9xtqwdhxkhw/edit?usp=sharing"",""ลพบุรี!J440"")"),1)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IFERROR(__xludf.DUMMYFUNCTION("IMPORTRANGE(""https://docs.google.com/spreadsheets/d/1SX6NBoVAgQJ6U1MVXOaj8PK2l7WJ3RER9xtqwdhxkhw/edit?usp=sharing"",""ลพบุรี!J441"")"),1)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IFERROR(__xludf.DUMMYFUNCTION("IMPORTRANGE(""https://docs.google.com/spreadsheets/d/1SX6NBoVAgQJ6U1MVXOaj8PK2l7WJ3RER9xtqwdhxkhw/edit?usp=sharing"",""ลพบุรี!I442"")"),22)</f>
        <v>22</v>
      </c>
      <c r="J547" s="189">
        <f ca="1">IFERROR(__xludf.DUMMYFUNCTION("IMPORTRANGE(""https://docs.google.com/spreadsheets/d/1SX6NBoVAgQJ6U1MVXOaj8PK2l7WJ3RER9xtqwdhxkhw/edit?usp=sharing"",""ลพบุรี!J442"")"),22)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IFERROR(__xludf.DUMMYFUNCTION("IMPORTRANGE(""https://docs.google.com/spreadsheets/d/1SX6NBoVAgQJ6U1MVXOaj8PK2l7WJ3RER9xtqwdhxkhw/edit?usp=sharing"",""ลพบุรี!J166"")"),0)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IFERROR(__xludf.DUMMYFUNCTION("IMPORTRANGE(""https://docs.google.com/spreadsheets/d/1SX6NBoVAgQJ6U1MVXOaj8PK2l7WJ3RER9xtqwdhxkhw/edit?usp=sharing"",""ลพบุรี!J444"")"),1)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IFERROR(__xludf.DUMMYFUNCTION("IMPORTRANGE(""https://docs.google.com/spreadsheets/d/1SX6NBoVAgQJ6U1MVXOaj8PK2l7WJ3RER9xtqwdhxkhw/edit?usp=sharing"",""ลพบุรี!J445"")"),1)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IFERROR(__xludf.DUMMYFUNCTION("IMPORTRANGE(""https://docs.google.com/spreadsheets/d/1SX6NBoVAgQJ6U1MVXOaj8PK2l7WJ3RER9xtqwdhxkhw/edit?usp=sharing"",""ลพบุรี!I446"")"),0)</f>
        <v>0</v>
      </c>
      <c r="J551" s="410">
        <f ca="1">IFERROR(__xludf.DUMMYFUNCTION("IMPORTRANGE(""https://docs.google.com/spreadsheets/d/1SX6NBoVAgQJ6U1MVXOaj8PK2l7WJ3RER9xtqwdhxkhw/edit?usp=sharing"",""ลพบุรี!J446"")"),0)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IFERROR(__xludf.DUMMYFUNCTION("IMPORTRANGE(""https://docs.google.com/spreadsheets/d/1SX6NBoVAgQJ6U1MVXOaj8PK2l7WJ3RER9xtqwdhxkhw/edit?usp=sharing"",""ลพบุรี!L446"")"),0)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IFERROR(__xludf.DUMMYFUNCTION("IMPORTRANGE(""https://docs.google.com/spreadsheets/d/1SX6NBoVAgQJ6U1MVXOaj8PK2l7WJ3RER9xtqwdhxkhw/edit?usp=sharing"",""ลพบุรี!M446"")"),0)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IFERROR(__xludf.DUMMYFUNCTION("IMPORTRANGE(""https://docs.google.com/spreadsheets/d/1SX6NBoVAgQJ6U1MVXOaj8PK2l7WJ3RER9xtqwdhxkhw/edit?usp=sharing"",""ลพบุรี!L447"")"),0)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IFERROR(__xludf.DUMMYFUNCTION("IMPORTRANGE(""https://docs.google.com/spreadsheets/d/1SX6NBoVAgQJ6U1MVXOaj8PK2l7WJ3RER9xtqwdhxkhw/edit?usp=sharing"",""ลพบุรี!M447"")"),0)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IFERROR(__xludf.DUMMYFUNCTION("IMPORTRANGE(""https://docs.google.com/spreadsheets/d/1SX6NBoVAgQJ6U1MVXOaj8PK2l7WJ3RER9xtqwdhxkhw/edit?usp=sharing"",""ลพบุรี!L448"")"),0)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IFERROR(__xludf.DUMMYFUNCTION("IMPORTRANGE(""https://docs.google.com/spreadsheets/d/1SX6NBoVAgQJ6U1MVXOaj8PK2l7WJ3RER9xtqwdhxkhw/edit?usp=sharing"",""ลพบุรี!M448"")"),0)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IFERROR(__xludf.DUMMYFUNCTION("IMPORTRANGE(""https://docs.google.com/spreadsheets/d/1SX6NBoVAgQJ6U1MVXOaj8PK2l7WJ3RER9xtqwdhxkhw/edit?usp=sharing"",""ลพบุรี!L449"")"),0)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IFERROR(__xludf.DUMMYFUNCTION("IMPORTRANGE(""https://docs.google.com/spreadsheets/d/1SX6NBoVAgQJ6U1MVXOaj8PK2l7WJ3RER9xtqwdhxkhw/edit?usp=sharing"",""ลพบุรี!M449"")"),0)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IFERROR(__xludf.DUMMYFUNCTION("IMPORTRANGE(""https://docs.google.com/spreadsheets/d/1SX6NBoVAgQJ6U1MVXOaj8PK2l7WJ3RER9xtqwdhxkhw/edit?usp=sharing"",""ลพบุรี!L450"")"),0)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IFERROR(__xludf.DUMMYFUNCTION("IMPORTRANGE(""https://docs.google.com/spreadsheets/d/1SX6NBoVAgQJ6U1MVXOaj8PK2l7WJ3RER9xtqwdhxkhw/edit?usp=sharing"",""ลพบุรี!M450"")"),0)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IFERROR(__xludf.DUMMYFUNCTION("IMPORTRANGE(""https://docs.google.com/spreadsheets/d/1SX6NBoVAgQJ6U1MVXOaj8PK2l7WJ3RER9xtqwdhxkhw/edit?usp=sharing"",""ลพบุรี!M451"")"),0)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IFERROR(__xludf.DUMMYFUNCTION("IMPORTRANGE(""https://docs.google.com/spreadsheets/d/1SX6NBoVAgQJ6U1MVXOaj8PK2l7WJ3RER9xtqwdhxkhw/edit?usp=sharing"",""ลพบุรี!M452"")"),0)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IFERROR(__xludf.DUMMYFUNCTION("IMPORTRANGE(""https://docs.google.com/spreadsheets/d/1SX6NBoVAgQJ6U1MVXOaj8PK2l7WJ3RER9xtqwdhxkhw/edit?usp=sharing"",""ลพบุรี!M453"")"),0)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IFERROR(__xludf.DUMMYFUNCTION("IMPORTRANGE(""https://docs.google.com/spreadsheets/d/1SX6NBoVAgQJ6U1MVXOaj8PK2l7WJ3RER9xtqwdhxkhw/edit?usp=sharing"",""ลพบุรี!M454"")"),0)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IFERROR(__xludf.DUMMYFUNCTION("IMPORTRANGE(""https://docs.google.com/spreadsheets/d/1SX6NBoVAgQJ6U1MVXOaj8PK2l7WJ3RER9xtqwdhxkhw/edit?usp=sharing"",""ลพบุรี!I455"")"),0)</f>
        <v>0</v>
      </c>
      <c r="J560" s="162">
        <f ca="1">IFERROR(__xludf.DUMMYFUNCTION("IMPORTRANGE(""https://docs.google.com/spreadsheets/d/1SX6NBoVAgQJ6U1MVXOaj8PK2l7WJ3RER9xtqwdhxkhw/edit?usp=sharing"",""ลพบุรี!J455"")"),0)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IFERROR(__xludf.DUMMYFUNCTION("IMPORTRANGE(""https://docs.google.com/spreadsheets/d/1SX6NBoVAgQJ6U1MVXOaj8PK2l7WJ3RER9xtqwdhxkhw/edit?usp=sharing"",""ลพบุรี!I456"")"),0)</f>
        <v>0</v>
      </c>
      <c r="J561" s="204">
        <f ca="1">IFERROR(__xludf.DUMMYFUNCTION("IMPORTRANGE(""https://docs.google.com/spreadsheets/d/1SX6NBoVAgQJ6U1MVXOaj8PK2l7WJ3RER9xtqwdhxkhw/edit?usp=sharing"",""ลพบุรี!J456"")"),0)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IFERROR(__xludf.DUMMYFUNCTION("IMPORTRANGE(""https://docs.google.com/spreadsheets/d/1SX6NBoVAgQJ6U1MVXOaj8PK2l7WJ3RER9xtqwdhxkhw/edit?usp=sharing"",""ลพบุรี!I459"")"),1350)</f>
        <v>1350</v>
      </c>
      <c r="J564" s="371">
        <f ca="1">IFERROR(__xludf.DUMMYFUNCTION("IMPORTRANGE(""https://docs.google.com/spreadsheets/d/1SX6NBoVAgQJ6U1MVXOaj8PK2l7WJ3RER9xtqwdhxkhw/edit?usp=sharing"",""ลพบุรี!J459"")"),1919)</f>
        <v>1919</v>
      </c>
      <c r="K564" s="372">
        <f ca="1">IF(I564&gt;0,J564*100/I564,0)</f>
        <v>142.14814814814815</v>
      </c>
      <c r="L564" s="373">
        <f ca="1">IFERROR(__xludf.DUMMYFUNCTION("IMPORTRANGE(""https://docs.google.com/spreadsheets/d/1SX6NBoVAgQJ6U1MVXOaj8PK2l7WJ3RER9xtqwdhxkhw/edit?usp=sharing"",""ลพบุรี!L459"")"),127680)</f>
        <v>127680</v>
      </c>
      <c r="M564" s="373"/>
      <c r="N564" s="373">
        <f ca="1">IFERROR(__xludf.DUMMYFUNCTION("IMPORTRANGE(""https://docs.google.com/spreadsheets/d/1SX6NBoVAgQJ6U1MVXOaj8PK2l7WJ3RER9xtqwdhxkhw/edit?usp=sharing"",""ลพบุรี!M459"")"),52410)</f>
        <v>52410</v>
      </c>
      <c r="O564" s="373">
        <f t="shared" ref="O564:O568" ca="1" si="122">+IF(L564&gt;0,N564*100/L564,0)</f>
        <v>41.047932330827066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IFERROR(__xludf.DUMMYFUNCTION("IMPORTRANGE(""https://docs.google.com/spreadsheets/d/1SX6NBoVAgQJ6U1MVXOaj8PK2l7WJ3RER9xtqwdhxkhw/edit?usp=sharing"",""ลพบุรี!L460"")"),0)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IFERROR(__xludf.DUMMYFUNCTION("IMPORTRANGE(""https://docs.google.com/spreadsheets/d/1SX6NBoVAgQJ6U1MVXOaj8PK2l7WJ3RER9xtqwdhxkhw/edit?usp=sharing"",""ลพบุรี!M460"")"),0)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IFERROR(__xludf.DUMMYFUNCTION("IMPORTRANGE(""https://docs.google.com/spreadsheets/d/1SX6NBoVAgQJ6U1MVXOaj8PK2l7WJ3RER9xtqwdhxkhw/edit?usp=sharing"",""ลพบุรี!L461"")"),127680)</f>
        <v>127680</v>
      </c>
      <c r="M566" s="165"/>
      <c r="N566" s="169">
        <f ca="1">IFERROR(__xludf.DUMMYFUNCTION("IMPORTRANGE(""https://docs.google.com/spreadsheets/d/1SX6NBoVAgQJ6U1MVXOaj8PK2l7WJ3RER9xtqwdhxkhw/edit?usp=sharing"",""ลพบุรี!M461"")"),52410)</f>
        <v>52410</v>
      </c>
      <c r="O566" s="169">
        <f t="shared" ca="1" si="122"/>
        <v>41.047932330827066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IFERROR(__xludf.DUMMYFUNCTION("IMPORTRANGE(""https://docs.google.com/spreadsheets/d/1SX6NBoVAgQJ6U1MVXOaj8PK2l7WJ3RER9xtqwdhxkhw/edit?usp=sharing"",""ลพบุรี!L462"")"),0)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IFERROR(__xludf.DUMMYFUNCTION("IMPORTRANGE(""https://docs.google.com/spreadsheets/d/1SX6NBoVAgQJ6U1MVXOaj8PK2l7WJ3RER9xtqwdhxkhw/edit?usp=sharing"",""ลพบุรี!M462"")"),0)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IFERROR(__xludf.DUMMYFUNCTION("IMPORTRANGE(""https://docs.google.com/spreadsheets/d/1SX6NBoVAgQJ6U1MVXOaj8PK2l7WJ3RER9xtqwdhxkhw/edit?usp=sharing"",""ลพบุรี!L463"")"),127680)</f>
        <v>127680</v>
      </c>
      <c r="M568" s="169"/>
      <c r="N568" s="169">
        <f ca="1">IFERROR(__xludf.DUMMYFUNCTION("IMPORTRANGE(""https://docs.google.com/spreadsheets/d/1SX6NBoVAgQJ6U1MVXOaj8PK2l7WJ3RER9xtqwdhxkhw/edit?usp=sharing"",""ลพบุรี!M463"")"),52410)</f>
        <v>52410</v>
      </c>
      <c r="O568" s="169">
        <f t="shared" ca="1" si="122"/>
        <v>41.047932330827066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IFERROR(__xludf.DUMMYFUNCTION("IMPORTRANGE(""https://docs.google.com/spreadsheets/d/1SX6NBoVAgQJ6U1MVXOaj8PK2l7WJ3RER9xtqwdhxkhw/edit?usp=sharing"",""ลพบุรี!M464"")"),0)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IFERROR(__xludf.DUMMYFUNCTION("IMPORTRANGE(""https://docs.google.com/spreadsheets/d/1SX6NBoVAgQJ6U1MVXOaj8PK2l7WJ3RER9xtqwdhxkhw/edit?usp=sharing"",""ลพบุรี!M465"")"),0)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IFERROR(__xludf.DUMMYFUNCTION("IMPORTRANGE(""https://docs.google.com/spreadsheets/d/1SX6NBoVAgQJ6U1MVXOaj8PK2l7WJ3RER9xtqwdhxkhw/edit?usp=sharing"",""ลพบุรี!M466"")"),41870)</f>
        <v>41870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IFERROR(__xludf.DUMMYFUNCTION("IMPORTRANGE(""https://docs.google.com/spreadsheets/d/1SX6NBoVAgQJ6U1MVXOaj8PK2l7WJ3RER9xtqwdhxkhw/edit?usp=sharing"",""ลพบุรี!M467"")"),10540)</f>
        <v>10540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IFERROR(__xludf.DUMMYFUNCTION("IMPORTRANGE(""https://docs.google.com/spreadsheets/d/1SX6NBoVAgQJ6U1MVXOaj8PK2l7WJ3RER9xtqwdhxkhw/edit?usp=sharing"",""ลพบุรี!I468"")"),1350)</f>
        <v>1350</v>
      </c>
      <c r="J573" s="420">
        <f ca="1">IFERROR(__xludf.DUMMYFUNCTION("IMPORTRANGE(""https://docs.google.com/spreadsheets/d/1SX6NBoVAgQJ6U1MVXOaj8PK2l7WJ3RER9xtqwdhxkhw/edit?usp=sharing"",""ลพบุรี!J468"")"),1919)</f>
        <v>1919</v>
      </c>
      <c r="K573" s="202">
        <f ca="1">IF(I573&gt;0,J573*100/I573,0)</f>
        <v>142.14814814814815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IFERROR(__xludf.DUMMYFUNCTION("IMPORTRANGE(""https://docs.google.com/spreadsheets/d/1SX6NBoVAgQJ6U1MVXOaj8PK2l7WJ3RER9xtqwdhxkhw/edit?usp=sharing"",""ลพบุรี!I470"")"),0)</f>
        <v>0</v>
      </c>
      <c r="J575" s="198">
        <f ca="1">IFERROR(__xludf.DUMMYFUNCTION("IMPORTRANGE(""https://docs.google.com/spreadsheets/d/1SX6NBoVAgQJ6U1MVXOaj8PK2l7WJ3RER9xtqwdhxkhw/edit?usp=sharing"",""ลพบุรี!J470"")"),4)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IFERROR(__xludf.DUMMYFUNCTION("IMPORTRANGE(""https://docs.google.com/spreadsheets/d/1SX6NBoVAgQJ6U1MVXOaj8PK2l7WJ3RER9xtqwdhxkhw/edit?usp=sharing"",""ลพบุรี!I471"")"),0)</f>
        <v>0</v>
      </c>
      <c r="J576" s="198">
        <f ca="1">IFERROR(__xludf.DUMMYFUNCTION("IMPORTRANGE(""https://docs.google.com/spreadsheets/d/1SX6NBoVAgQJ6U1MVXOaj8PK2l7WJ3RER9xtqwdhxkhw/edit?usp=sharing"",""ลพบุรี!J471"")"),250)</f>
        <v>250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IFERROR(__xludf.DUMMYFUNCTION("IMPORTRANGE(""https://docs.google.com/spreadsheets/d/1SX6NBoVAgQJ6U1MVXOaj8PK2l7WJ3RER9xtqwdhxkhw/edit?usp=sharing"",""ลพบุรี!I472"")"),0)</f>
        <v>0</v>
      </c>
      <c r="J577" s="189">
        <f ca="1">IFERROR(__xludf.DUMMYFUNCTION("IMPORTRANGE(""https://docs.google.com/spreadsheets/d/1SX6NBoVAgQJ6U1MVXOaj8PK2l7WJ3RER9xtqwdhxkhw/edit?usp=sharing"",""ลพบุรี!J472"")"),1669)</f>
        <v>1669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IFERROR(__xludf.DUMMYFUNCTION("IMPORTRANGE(""https://docs.google.com/spreadsheets/d/1SX6NBoVAgQJ6U1MVXOaj8PK2l7WJ3RER9xtqwdhxkhw/edit?usp=sharing"",""ลพบุรี!I473"")"),0)</f>
        <v>0</v>
      </c>
      <c r="J578" s="198">
        <f ca="1">IFERROR(__xludf.DUMMYFUNCTION("IMPORTRANGE(""https://docs.google.com/spreadsheets/d/1SX6NBoVAgQJ6U1MVXOaj8PK2l7WJ3RER9xtqwdhxkhw/edit?usp=sharing"",""ลพบุรี!J473"")"),0)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IFERROR(__xludf.DUMMYFUNCTION("IMPORTRANGE(""https://docs.google.com/spreadsheets/d/1SX6NBoVAgQJ6U1MVXOaj8PK2l7WJ3RER9xtqwdhxkhw/edit?usp=sharing"",""ลพบุรี!I474"")"),0)</f>
        <v>0</v>
      </c>
      <c r="J579" s="198">
        <f ca="1">IFERROR(__xludf.DUMMYFUNCTION("IMPORTRANGE(""https://docs.google.com/spreadsheets/d/1SX6NBoVAgQJ6U1MVXOaj8PK2l7WJ3RER9xtqwdhxkhw/edit?usp=sharing"",""ลพบุรี!J474"")"),0)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IFERROR(__xludf.DUMMYFUNCTION("IMPORTRANGE(""https://docs.google.com/spreadsheets/d/1SX6NBoVAgQJ6U1MVXOaj8PK2l7WJ3RER9xtqwdhxkhw/edit?usp=sharing"",""ลพบุรี!I475"")"),0)</f>
        <v>0</v>
      </c>
      <c r="J580" s="371">
        <f ca="1">IFERROR(__xludf.DUMMYFUNCTION("IMPORTRANGE(""https://docs.google.com/spreadsheets/d/1SX6NBoVAgQJ6U1MVXOaj8PK2l7WJ3RER9xtqwdhxkhw/edit?usp=sharing"",""ลพบุรี!J475"")"),3)</f>
        <v>3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IFERROR(__xludf.DUMMYFUNCTION("IMPORTRANGE(""https://docs.google.com/spreadsheets/d/1SX6NBoVAgQJ6U1MVXOaj8PK2l7WJ3RER9xtqwdhxkhw/edit?usp=sharing"",""ลพบุรี!L475"")"),0)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IFERROR(__xludf.DUMMYFUNCTION("IMPORTRANGE(""https://docs.google.com/spreadsheets/d/1SX6NBoVAgQJ6U1MVXOaj8PK2l7WJ3RER9xtqwdhxkhw/edit?usp=sharing"",""ลพบุรี!M475"")"),0)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IFERROR(__xludf.DUMMYFUNCTION("IMPORTRANGE(""https://docs.google.com/spreadsheets/d/1SX6NBoVAgQJ6U1MVXOaj8PK2l7WJ3RER9xtqwdhxkhw/edit?usp=sharing"",""ลพบุรี!L476"")"),0)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IFERROR(__xludf.DUMMYFUNCTION("IMPORTRANGE(""https://docs.google.com/spreadsheets/d/1SX6NBoVAgQJ6U1MVXOaj8PK2l7WJ3RER9xtqwdhxkhw/edit?usp=sharing"",""ลพบุรี!M476"")"),0)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IFERROR(__xludf.DUMMYFUNCTION("IMPORTRANGE(""https://docs.google.com/spreadsheets/d/1SX6NBoVAgQJ6U1MVXOaj8PK2l7WJ3RER9xtqwdhxkhw/edit?usp=sharing"",""ลพบุรี!L477"")"),0)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IFERROR(__xludf.DUMMYFUNCTION("IMPORTRANGE(""https://docs.google.com/spreadsheets/d/1SX6NBoVAgQJ6U1MVXOaj8PK2l7WJ3RER9xtqwdhxkhw/edit?usp=sharing"",""ลพบุรี!M477"")"),0)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IFERROR(__xludf.DUMMYFUNCTION("IMPORTRANGE(""https://docs.google.com/spreadsheets/d/1SX6NBoVAgQJ6U1MVXOaj8PK2l7WJ3RER9xtqwdhxkhw/edit?usp=sharing"",""ลพบุรี!L478"")"),0)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IFERROR(__xludf.DUMMYFUNCTION("IMPORTRANGE(""https://docs.google.com/spreadsheets/d/1SX6NBoVAgQJ6U1MVXOaj8PK2l7WJ3RER9xtqwdhxkhw/edit?usp=sharing"",""ลพบุรี!M478"")"),0)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IFERROR(__xludf.DUMMYFUNCTION("IMPORTRANGE(""https://docs.google.com/spreadsheets/d/1SX6NBoVAgQJ6U1MVXOaj8PK2l7WJ3RER9xtqwdhxkhw/edit?usp=sharing"",""ลพบุรี!L479"")"),0)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IFERROR(__xludf.DUMMYFUNCTION("IMPORTRANGE(""https://docs.google.com/spreadsheets/d/1SX6NBoVAgQJ6U1MVXOaj8PK2l7WJ3RER9xtqwdhxkhw/edit?usp=sharing"",""ลพบุรี!M479"")"),0)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IFERROR(__xludf.DUMMYFUNCTION("IMPORTRANGE(""https://docs.google.com/spreadsheets/d/1SX6NBoVAgQJ6U1MVXOaj8PK2l7WJ3RER9xtqwdhxkhw/edit?usp=sharing"",""ลพบุรี!M480"")"),0)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IFERROR(__xludf.DUMMYFUNCTION("IMPORTRANGE(""https://docs.google.com/spreadsheets/d/1SX6NBoVAgQJ6U1MVXOaj8PK2l7WJ3RER9xtqwdhxkhw/edit?usp=sharing"",""ลพบุรี!M481"")"),0)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IFERROR(__xludf.DUMMYFUNCTION("IMPORTRANGE(""https://docs.google.com/spreadsheets/d/1SX6NBoVAgQJ6U1MVXOaj8PK2l7WJ3RER9xtqwdhxkhw/edit?usp=sharing"",""ลพบุรี!M482"")"),0)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IFERROR(__xludf.DUMMYFUNCTION("IMPORTRANGE(""https://docs.google.com/spreadsheets/d/1SX6NBoVAgQJ6U1MVXOaj8PK2l7WJ3RER9xtqwdhxkhw/edit?usp=sharing"",""ลพบุรี!M483"")"),0)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IFERROR(__xludf.DUMMYFUNCTION("IMPORTRANGE(""https://docs.google.com/spreadsheets/d/1SX6NBoVAgQJ6U1MVXOaj8PK2l7WJ3RER9xtqwdhxkhw/edit?usp=sharing"",""ลพบุรี!I484"")"),0)</f>
        <v>0</v>
      </c>
      <c r="J589" s="188">
        <f ca="1">IFERROR(__xludf.DUMMYFUNCTION("IMPORTRANGE(""https://docs.google.com/spreadsheets/d/1SX6NBoVAgQJ6U1MVXOaj8PK2l7WJ3RER9xtqwdhxkhw/edit?usp=sharing"",""ลพบุรี!J484"")"),2)</f>
        <v>2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IFERROR(__xludf.DUMMYFUNCTION("IMPORTRANGE(""https://docs.google.com/spreadsheets/d/1SX6NBoVAgQJ6U1MVXOaj8PK2l7WJ3RER9xtqwdhxkhw/edit?usp=sharing"",""ลพบุรี!I485"")"),0)</f>
        <v>0</v>
      </c>
      <c r="J590" s="188">
        <f ca="1">IFERROR(__xludf.DUMMYFUNCTION("IMPORTRANGE(""https://docs.google.com/spreadsheets/d/1SX6NBoVAgQJ6U1MVXOaj8PK2l7WJ3RER9xtqwdhxkhw/edit?usp=sharing"",""ลพบุรี!J485"")"),2.04)</f>
        <v>2.04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IFERROR(__xludf.DUMMYFUNCTION("IMPORTRANGE(""https://docs.google.com/spreadsheets/d/1SX6NBoVAgQJ6U1MVXOaj8PK2l7WJ3RER9xtqwdhxkhw/edit?usp=sharing"",""ลพบุรี!I486"")"),0)</f>
        <v>0</v>
      </c>
      <c r="J591" s="188">
        <f ca="1">IFERROR(__xludf.DUMMYFUNCTION("IMPORTRANGE(""https://docs.google.com/spreadsheets/d/1SX6NBoVAgQJ6U1MVXOaj8PK2l7WJ3RER9xtqwdhxkhw/edit?usp=sharing"",""ลพบุรี!J486"")"),6)</f>
        <v>6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IFERROR(__xludf.DUMMYFUNCTION("IMPORTRANGE(""https://docs.google.com/spreadsheets/d/1SX6NBoVAgQJ6U1MVXOaj8PK2l7WJ3RER9xtqwdhxkhw/edit?usp=sharing"",""ลพบุรี!I487"")"),0)</f>
        <v>0</v>
      </c>
      <c r="J592" s="188">
        <f ca="1">IFERROR(__xludf.DUMMYFUNCTION("IMPORTRANGE(""https://docs.google.com/spreadsheets/d/1SX6NBoVAgQJ6U1MVXOaj8PK2l7WJ3RER9xtqwdhxkhw/edit?usp=sharing"",""ลพบุรี!J487"")"),2.7)</f>
        <v>2.7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IFERROR(__xludf.DUMMYFUNCTION("IMPORTRANGE(""https://docs.google.com/spreadsheets/d/1SX6NBoVAgQJ6U1MVXOaj8PK2l7WJ3RER9xtqwdhxkhw/edit?usp=sharing"",""ลพบุรี!I488"")"),0)</f>
        <v>0</v>
      </c>
      <c r="J593" s="188">
        <f ca="1">IFERROR(__xludf.DUMMYFUNCTION("IMPORTRANGE(""https://docs.google.com/spreadsheets/d/1SX6NBoVAgQJ6U1MVXOaj8PK2l7WJ3RER9xtqwdhxkhw/edit?usp=sharing"",""ลพบุรี!J488"")"),1)</f>
        <v>1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IFERROR(__xludf.DUMMYFUNCTION("IMPORTRANGE(""https://docs.google.com/spreadsheets/d/1SX6NBoVAgQJ6U1MVXOaj8PK2l7WJ3RER9xtqwdhxkhw/edit?usp=sharing"",""ลพบุรี!I489"")"),0)</f>
        <v>0</v>
      </c>
      <c r="J594" s="188">
        <f ca="1">IFERROR(__xludf.DUMMYFUNCTION("IMPORTRANGE(""https://docs.google.com/spreadsheets/d/1SX6NBoVAgQJ6U1MVXOaj8PK2l7WJ3RER9xtqwdhxkhw/edit?usp=sharing"",""ลพบุรี!J489"")"),0.59)</f>
        <v>0.59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IFERROR(__xludf.DUMMYFUNCTION("IMPORTRANGE(""https://docs.google.com/spreadsheets/d/1SX6NBoVAgQJ6U1MVXOaj8PK2l7WJ3RER9xtqwdhxkhw/edit?usp=sharing"",""ลพบุรี!I490"")"),0)</f>
        <v>0</v>
      </c>
      <c r="J595" s="188">
        <f ca="1">IFERROR(__xludf.DUMMYFUNCTION("IMPORTRANGE(""https://docs.google.com/spreadsheets/d/1SX6NBoVAgQJ6U1MVXOaj8PK2l7WJ3RER9xtqwdhxkhw/edit?usp=sharing"",""ลพบุรี!J490"")"),3)</f>
        <v>3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IFERROR(__xludf.DUMMYFUNCTION("IMPORTRANGE(""https://docs.google.com/spreadsheets/d/1SX6NBoVAgQJ6U1MVXOaj8PK2l7WJ3RER9xtqwdhxkhw/edit?usp=sharing"",""ลพบุรี!I491"")"),0)</f>
        <v>0</v>
      </c>
      <c r="J596" s="241">
        <f ca="1">IFERROR(__xludf.DUMMYFUNCTION("IMPORTRANGE(""https://docs.google.com/spreadsheets/d/1SX6NBoVAgQJ6U1MVXOaj8PK2l7WJ3RER9xtqwdhxkhw/edit?usp=sharing"",""ลพบุรี!J491"")"),1.51)</f>
        <v>1.51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IFERROR(__xludf.DUMMYFUNCTION("IMPORTRANGE(""https://docs.google.com/spreadsheets/d/1SX6NBoVAgQJ6U1MVXOaj8PK2l7WJ3RER9xtqwdhxkhw/edit?usp=sharing"",""ลพบุรี!I492"")"),100)</f>
        <v>100</v>
      </c>
      <c r="J597" s="487">
        <f ca="1">IFERROR(__xludf.DUMMYFUNCTION("IMPORTRANGE(""https://docs.google.com/spreadsheets/d/1SX6NBoVAgQJ6U1MVXOaj8PK2l7WJ3RER9xtqwdhxkhw/edit?usp=sharing"",""ลพบุรี!J492"")"),0)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IFERROR(__xludf.DUMMYFUNCTION("IMPORTRANGE(""https://docs.google.com/spreadsheets/d/1SX6NBoVAgQJ6U1MVXOaj8PK2l7WJ3RER9xtqwdhxkhw/edit?usp=sharing"",""ลพบุรี!L492"")"),8900)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IFERROR(__xludf.DUMMYFUNCTION("IMPORTRANGE(""https://docs.google.com/spreadsheets/d/1SX6NBoVAgQJ6U1MVXOaj8PK2l7WJ3RER9xtqwdhxkhw/edit?usp=sharing"",""ลพบุรี!M492"")"),648)</f>
        <v>648</v>
      </c>
      <c r="O597" s="412">
        <f t="shared" ref="O597:O601" ca="1" si="126">+IF(L597&gt;0,N597*100/L597,0)</f>
        <v>7.2808988764044944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IFERROR(__xludf.DUMMYFUNCTION("IMPORTRANGE(""https://docs.google.com/spreadsheets/d/1SX6NBoVAgQJ6U1MVXOaj8PK2l7WJ3RER9xtqwdhxkhw/edit?usp=sharing"",""ลพบุรี!L493"")"),0)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IFERROR(__xludf.DUMMYFUNCTION("IMPORTRANGE(""https://docs.google.com/spreadsheets/d/1SX6NBoVAgQJ6U1MVXOaj8PK2l7WJ3RER9xtqwdhxkhw/edit?usp=sharing"",""ลพบุรี!M493"")"),0)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IFERROR(__xludf.DUMMYFUNCTION("IMPORTRANGE(""https://docs.google.com/spreadsheets/d/1SX6NBoVAgQJ6U1MVXOaj8PK2l7WJ3RER9xtqwdhxkhw/edit?usp=sharing"",""ลพบุรี!L494"")"),8900)</f>
        <v>8900</v>
      </c>
      <c r="M599" s="165"/>
      <c r="N599" s="169">
        <f ca="1">IFERROR(__xludf.DUMMYFUNCTION("IMPORTRANGE(""https://docs.google.com/spreadsheets/d/1SX6NBoVAgQJ6U1MVXOaj8PK2l7WJ3RER9xtqwdhxkhw/edit?usp=sharing"",""ลพบุรี!M494"")"),648)</f>
        <v>648</v>
      </c>
      <c r="O599" s="169">
        <f t="shared" ca="1" si="126"/>
        <v>7.2808988764044944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IFERROR(__xludf.DUMMYFUNCTION("IMPORTRANGE(""https://docs.google.com/spreadsheets/d/1SX6NBoVAgQJ6U1MVXOaj8PK2l7WJ3RER9xtqwdhxkhw/edit?usp=sharing"",""ลพบุรี!L495"")"),0)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IFERROR(__xludf.DUMMYFUNCTION("IMPORTRANGE(""https://docs.google.com/spreadsheets/d/1SX6NBoVAgQJ6U1MVXOaj8PK2l7WJ3RER9xtqwdhxkhw/edit?usp=sharing"",""ลพบุรี!M495"")"),0)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IFERROR(__xludf.DUMMYFUNCTION("IMPORTRANGE(""https://docs.google.com/spreadsheets/d/1SX6NBoVAgQJ6U1MVXOaj8PK2l7WJ3RER9xtqwdhxkhw/edit?usp=sharing"",""ลพบุรี!L496"")"),8900)</f>
        <v>8900</v>
      </c>
      <c r="M601" s="169"/>
      <c r="N601" s="169">
        <f ca="1">IFERROR(__xludf.DUMMYFUNCTION("IMPORTRANGE(""https://docs.google.com/spreadsheets/d/1SX6NBoVAgQJ6U1MVXOaj8PK2l7WJ3RER9xtqwdhxkhw/edit?usp=sharing"",""ลพบุรี!M496"")"),648)</f>
        <v>648</v>
      </c>
      <c r="O601" s="169">
        <f t="shared" ca="1" si="126"/>
        <v>7.2808988764044944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IFERROR(__xludf.DUMMYFUNCTION("IMPORTRANGE(""https://docs.google.com/spreadsheets/d/1SX6NBoVAgQJ6U1MVXOaj8PK2l7WJ3RER9xtqwdhxkhw/edit?usp=sharing"",""ลพบุรี!M497"")"),0)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IFERROR(__xludf.DUMMYFUNCTION("IMPORTRANGE(""https://docs.google.com/spreadsheets/d/1SX6NBoVAgQJ6U1MVXOaj8PK2l7WJ3RER9xtqwdhxkhw/edit?usp=sharing"",""ลพบุรี!M498"")"),0)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IFERROR(__xludf.DUMMYFUNCTION("IMPORTRANGE(""https://docs.google.com/spreadsheets/d/1SX6NBoVAgQJ6U1MVXOaj8PK2l7WJ3RER9xtqwdhxkhw/edit?usp=sharing"",""ลพบุรี!M499"")"),0)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IFERROR(__xludf.DUMMYFUNCTION("IMPORTRANGE(""https://docs.google.com/spreadsheets/d/1SX6NBoVAgQJ6U1MVXOaj8PK2l7WJ3RER9xtqwdhxkhw/edit?usp=sharing"",""ลพบุรี!M500"")"),648)</f>
        <v>648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IFERROR(__xludf.DUMMYFUNCTION("IMPORTRANGE(""https://docs.google.com/spreadsheets/d/1SX6NBoVAgQJ6U1MVXOaj8PK2l7WJ3RER9xtqwdhxkhw/edit?usp=sharing"",""ลพบุรี!J502"")"),0)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IFERROR(__xludf.DUMMYFUNCTION("IMPORTRANGE(""https://docs.google.com/spreadsheets/d/1SX6NBoVAgQJ6U1MVXOaj8PK2l7WJ3RER9xtqwdhxkhw/edit?usp=sharing"",""ลพบุรี!J503"")"),1)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IFERROR(__xludf.DUMMYFUNCTION("IMPORTRANGE(""https://docs.google.com/spreadsheets/d/1SX6NBoVAgQJ6U1MVXOaj8PK2l7WJ3RER9xtqwdhxkhw/edit?usp=sharing"",""ลพบุรี!J166"")"),0)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IFERROR(__xludf.DUMMYFUNCTION("IMPORTRANGE(""https://docs.google.com/spreadsheets/d/1SX6NBoVAgQJ6U1MVXOaj8PK2l7WJ3RER9xtqwdhxkhw/edit?usp=sharing"",""ลพบุรี!J166"")"),0)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IFERROR(__xludf.DUMMYFUNCTION("IMPORTRANGE(""https://docs.google.com/spreadsheets/d/1SX6NBoVAgQJ6U1MVXOaj8PK2l7WJ3RER9xtqwdhxkhw/edit?usp=sharing"",""ลพบุรี!I506"")"),100)</f>
        <v>100</v>
      </c>
      <c r="J611" s="162">
        <f ca="1">IFERROR(__xludf.DUMMYFUNCTION("IMPORTRANGE(""https://docs.google.com/spreadsheets/d/1SX6NBoVAgQJ6U1MVXOaj8PK2l7WJ3RER9xtqwdhxkhw/edit?usp=sharing"",""ลพบุรี!J506"")"),0)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IFERROR(__xludf.DUMMYFUNCTION("IMPORTRANGE(""https://docs.google.com/spreadsheets/d/1SX6NBoVAgQJ6U1MVXOaj8PK2l7WJ3RER9xtqwdhxkhw/edit?usp=sharing"",""ลพบุรี!I507"")"),0)</f>
        <v>0</v>
      </c>
      <c r="J612" s="198">
        <f ca="1">IFERROR(__xludf.DUMMYFUNCTION("IMPORTRANGE(""https://docs.google.com/spreadsheets/d/1SX6NBoVAgQJ6U1MVXOaj8PK2l7WJ3RER9xtqwdhxkhw/edit?usp=sharing"",""ลพบุรี!J507"")"),0)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IFERROR(__xludf.DUMMYFUNCTION("IMPORTRANGE(""https://docs.google.com/spreadsheets/d/1SX6NBoVAgQJ6U1MVXOaj8PK2l7WJ3RER9xtqwdhxkhw/edit?usp=sharing"",""ลพบุรี!I508"")"),0)</f>
        <v>0</v>
      </c>
      <c r="J613" s="198">
        <f ca="1">IFERROR(__xludf.DUMMYFUNCTION("IMPORTRANGE(""https://docs.google.com/spreadsheets/d/1SX6NBoVAgQJ6U1MVXOaj8PK2l7WJ3RER9xtqwdhxkhw/edit?usp=sharing"",""ลพบุรี!J508"")"),0)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IFERROR(__xludf.DUMMYFUNCTION("IMPORTRANGE(""https://docs.google.com/spreadsheets/d/1SX6NBoVAgQJ6U1MVXOaj8PK2l7WJ3RER9xtqwdhxkhw/edit?usp=sharing"",""ลพบุรี!I509"")"),0)</f>
        <v>0</v>
      </c>
      <c r="J614" s="198">
        <f ca="1">IFERROR(__xludf.DUMMYFUNCTION("IMPORTRANGE(""https://docs.google.com/spreadsheets/d/1SX6NBoVAgQJ6U1MVXOaj8PK2l7WJ3RER9xtqwdhxkhw/edit?usp=sharing"",""ลพบุรี!J509"")"),0)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IFERROR(__xludf.DUMMYFUNCTION("IMPORTRANGE(""https://docs.google.com/spreadsheets/d/1SX6NBoVAgQJ6U1MVXOaj8PK2l7WJ3RER9xtqwdhxkhw/edit?usp=sharing"",""ลพบุรี!I510"")"),0)</f>
        <v>0</v>
      </c>
      <c r="J615" s="198">
        <f ca="1">IFERROR(__xludf.DUMMYFUNCTION("IMPORTRANGE(""https://docs.google.com/spreadsheets/d/1SX6NBoVAgQJ6U1MVXOaj8PK2l7WJ3RER9xtqwdhxkhw/edit?usp=sharing"",""ลพบุรี!J510"")"),0)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IFERROR(__xludf.DUMMYFUNCTION("IMPORTRANGE(""https://docs.google.com/spreadsheets/d/1SX6NBoVAgQJ6U1MVXOaj8PK2l7WJ3RER9xtqwdhxkhw/edit?usp=sharing"",""ลพบุรี!I511"")"),0)</f>
        <v>0</v>
      </c>
      <c r="J616" s="198">
        <f ca="1">IFERROR(__xludf.DUMMYFUNCTION("IMPORTRANGE(""https://docs.google.com/spreadsheets/d/1SX6NBoVAgQJ6U1MVXOaj8PK2l7WJ3RER9xtqwdhxkhw/edit?usp=sharing"",""ลพบุรี!J511"")"),0)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IFERROR(__xludf.DUMMYFUNCTION("IMPORTRANGE(""https://docs.google.com/spreadsheets/d/1SX6NBoVAgQJ6U1MVXOaj8PK2l7WJ3RER9xtqwdhxkhw/edit?usp=sharing"",""ลพบุรี!I512"")"),0)</f>
        <v>0</v>
      </c>
      <c r="J617" s="188">
        <f ca="1">IFERROR(__xludf.DUMMYFUNCTION("IMPORTRANGE(""https://docs.google.com/spreadsheets/d/1SX6NBoVAgQJ6U1MVXOaj8PK2l7WJ3RER9xtqwdhxkhw/edit?usp=sharing"",""ลพบุรี!J512"")"),0)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IFERROR(__xludf.DUMMYFUNCTION("IMPORTRANGE(""https://docs.google.com/spreadsheets/d/1SX6NBoVAgQJ6U1MVXOaj8PK2l7WJ3RER9xtqwdhxkhw/edit?usp=sharing"",""ลพบุรี!I513"")"),0)</f>
        <v>0</v>
      </c>
      <c r="J618" s="189">
        <f ca="1">IFERROR(__xludf.DUMMYFUNCTION("IMPORTRANGE(""https://docs.google.com/spreadsheets/d/1SX6NBoVAgQJ6U1MVXOaj8PK2l7WJ3RER9xtqwdhxkhw/edit?usp=sharing"",""ลพบุรี!J513"")"),0)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IFERROR(__xludf.DUMMYFUNCTION("IMPORTRANGE(""https://docs.google.com/spreadsheets/d/1SX6NBoVAgQJ6U1MVXOaj8PK2l7WJ3RER9xtqwdhxkhw/edit?usp=sharing"",""ลพบุรี!I514"")"),0)</f>
        <v>0</v>
      </c>
      <c r="J619" s="189">
        <f ca="1">IFERROR(__xludf.DUMMYFUNCTION("IMPORTRANGE(""https://docs.google.com/spreadsheets/d/1SX6NBoVAgQJ6U1MVXOaj8PK2l7WJ3RER9xtqwdhxkhw/edit?usp=sharing"",""ลพบุรี!J514"")"),0)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IFERROR(__xludf.DUMMYFUNCTION("IMPORTRANGE(""https://docs.google.com/spreadsheets/d/1SX6NBoVAgQJ6U1MVXOaj8PK2l7WJ3RER9xtqwdhxkhw/edit?usp=sharing"",""ลพบุรี!I515"")"),760)</f>
        <v>760</v>
      </c>
      <c r="J620" s="203">
        <f ca="1">IFERROR(__xludf.DUMMYFUNCTION("IMPORTRANGE(""https://docs.google.com/spreadsheets/d/1SX6NBoVAgQJ6U1MVXOaj8PK2l7WJ3RER9xtqwdhxkhw/edit?usp=sharing"",""ลพบุรี!J515"")"),0)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IFERROR(__xludf.DUMMYFUNCTION("IMPORTRANGE(""https://docs.google.com/spreadsheets/d/1SX6NBoVAgQJ6U1MVXOaj8PK2l7WJ3RER9xtqwdhxkhw/edit?usp=sharing"",""ลพบุรี!I516"")"),0)</f>
        <v>0</v>
      </c>
      <c r="J621" s="203">
        <f ca="1">IFERROR(__xludf.DUMMYFUNCTION("IMPORTRANGE(""https://docs.google.com/spreadsheets/d/1SX6NBoVAgQJ6U1MVXOaj8PK2l7WJ3RER9xtqwdhxkhw/edit?usp=sharing"",""ลพบุรี!J516"")"),0)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IFERROR(__xludf.DUMMYFUNCTION("IMPORTRANGE(""https://docs.google.com/spreadsheets/d/1SX6NBoVAgQJ6U1MVXOaj8PK2l7WJ3RER9xtqwdhxkhw/edit?usp=sharing"",""ลพบุรี!I517"")"),0)</f>
        <v>0</v>
      </c>
      <c r="J622" s="189">
        <f ca="1">IFERROR(__xludf.DUMMYFUNCTION("IMPORTRANGE(""https://docs.google.com/spreadsheets/d/1SX6NBoVAgQJ6U1MVXOaj8PK2l7WJ3RER9xtqwdhxkhw/edit?usp=sharing"",""ลพบุรี!J517"")"),0)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IFERROR(__xludf.DUMMYFUNCTION("IMPORTRANGE(""https://docs.google.com/spreadsheets/d/1SX6NBoVAgQJ6U1MVXOaj8PK2l7WJ3RER9xtqwdhxkhw/edit?usp=sharing"",""ลพบุรี!I518"")"),0)</f>
        <v>0</v>
      </c>
      <c r="J623" s="189">
        <f ca="1">IFERROR(__xludf.DUMMYFUNCTION("IMPORTRANGE(""https://docs.google.com/spreadsheets/d/1SX6NBoVAgQJ6U1MVXOaj8PK2l7WJ3RER9xtqwdhxkhw/edit?usp=sharing"",""ลพบุรี!J518"")"),0)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IFERROR(__xludf.DUMMYFUNCTION("IMPORTRANGE(""https://docs.google.com/spreadsheets/d/1SX6NBoVAgQJ6U1MVXOaj8PK2l7WJ3RER9xtqwdhxkhw/edit?usp=sharing"",""ลพบุรี!I519"")"),0)</f>
        <v>0</v>
      </c>
      <c r="J624" s="188">
        <f ca="1">IFERROR(__xludf.DUMMYFUNCTION("IMPORTRANGE(""https://docs.google.com/spreadsheets/d/1SX6NBoVAgQJ6U1MVXOaj8PK2l7WJ3RER9xtqwdhxkhw/edit?usp=sharing"",""ลพบุรี!J519"")"),0)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IFERROR(__xludf.DUMMYFUNCTION("IMPORTRANGE(""https://docs.google.com/spreadsheets/d/1SX6NBoVAgQJ6U1MVXOaj8PK2l7WJ3RER9xtqwdhxkhw/edit?usp=sharing"",""ลพบุรี!I520"")"),0)</f>
        <v>0</v>
      </c>
      <c r="J625" s="189">
        <f ca="1">IFERROR(__xludf.DUMMYFUNCTION("IMPORTRANGE(""https://docs.google.com/spreadsheets/d/1SX6NBoVAgQJ6U1MVXOaj8PK2l7WJ3RER9xtqwdhxkhw/edit?usp=sharing"",""ลพบุรี!J520"")"),0)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IFERROR(__xludf.DUMMYFUNCTION("IMPORTRANGE(""https://docs.google.com/spreadsheets/d/1SX6NBoVAgQJ6U1MVXOaj8PK2l7WJ3RER9xtqwdhxkhw/edit?usp=sharing"",""ลพบุรี!I521"")"),0)</f>
        <v>0</v>
      </c>
      <c r="J626" s="189">
        <f ca="1">IFERROR(__xludf.DUMMYFUNCTION("IMPORTRANGE(""https://docs.google.com/spreadsheets/d/1SX6NBoVAgQJ6U1MVXOaj8PK2l7WJ3RER9xtqwdhxkhw/edit?usp=sharing"",""ลพบุรี!J521"")"),0)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IFERROR(__xludf.DUMMYFUNCTION("IMPORTRANGE(""https://docs.google.com/spreadsheets/d/1SX6NBoVAgQJ6U1MVXOaj8PK2l7WJ3RER9xtqwdhxkhw/edit?usp=sharing"",""ลพบุรี!I523"")"),10939989.04)</f>
        <v>10939989.039999999</v>
      </c>
      <c r="J628" s="341">
        <f ca="1">IFERROR(__xludf.DUMMYFUNCTION("IMPORTRANGE(""https://docs.google.com/spreadsheets/d/1SX6NBoVAgQJ6U1MVXOaj8PK2l7WJ3RER9xtqwdhxkhw/edit?usp=sharing"",""ลพบุรี!J523"")"),3320297.28)</f>
        <v>3320297.28</v>
      </c>
      <c r="K628" s="342">
        <f t="shared" ref="K628:K635" ca="1" si="129">IF(I628&gt;0,J628*100/I628,0)</f>
        <v>30.350096950371352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IFERROR(__xludf.DUMMYFUNCTION("IMPORTRANGE(""https://docs.google.com/spreadsheets/d/1SX6NBoVAgQJ6U1MVXOaj8PK2l7WJ3RER9xtqwdhxkhw/edit?usp=sharing"",""ลพบุรี!I524"")"),387)</f>
        <v>387</v>
      </c>
      <c r="J629" s="341">
        <f ca="1">IFERROR(__xludf.DUMMYFUNCTION("IMPORTRANGE(""https://docs.google.com/spreadsheets/d/1SX6NBoVAgQJ6U1MVXOaj8PK2l7WJ3RER9xtqwdhxkhw/edit?usp=sharing"",""ลพบุรี!J524"")"),121)</f>
        <v>121</v>
      </c>
      <c r="K629" s="342">
        <f t="shared" ca="1" si="129"/>
        <v>31.266149870801033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IFERROR(__xludf.DUMMYFUNCTION("IMPORTRANGE(""https://docs.google.com/spreadsheets/d/1SX6NBoVAgQJ6U1MVXOaj8PK2l7WJ3RER9xtqwdhxkhw/edit?usp=sharing"",""ลพบุรี!I525"")"),6595546.01)</f>
        <v>6595546.0099999998</v>
      </c>
      <c r="J630" s="341">
        <f ca="1">IFERROR(__xludf.DUMMYFUNCTION("IMPORTRANGE(""https://docs.google.com/spreadsheets/d/1SX6NBoVAgQJ6U1MVXOaj8PK2l7WJ3RER9xtqwdhxkhw/edit?usp=sharing"",""ลพบุรี!J525"")"),335227.01)</f>
        <v>335227.01</v>
      </c>
      <c r="K630" s="342">
        <f t="shared" ca="1" si="129"/>
        <v>5.0826271167199391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IFERROR(__xludf.DUMMYFUNCTION("IMPORTRANGE(""https://docs.google.com/spreadsheets/d/1SX6NBoVAgQJ6U1MVXOaj8PK2l7WJ3RER9xtqwdhxkhw/edit?usp=sharing"",""ลพบุรี!I526"")"),307)</f>
        <v>307</v>
      </c>
      <c r="J631" s="341">
        <f ca="1">IFERROR(__xludf.DUMMYFUNCTION("IMPORTRANGE(""https://docs.google.com/spreadsheets/d/1SX6NBoVAgQJ6U1MVXOaj8PK2l7WJ3RER9xtqwdhxkhw/edit?usp=sharing"",""ลพบุรี!J526"")"),31)</f>
        <v>31</v>
      </c>
      <c r="K631" s="342">
        <f t="shared" ca="1" si="129"/>
        <v>10.09771986970684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IFERROR(__xludf.DUMMYFUNCTION("IMPORTRANGE(""https://docs.google.com/spreadsheets/d/1SX6NBoVAgQJ6U1MVXOaj8PK2l7WJ3RER9xtqwdhxkhw/edit?usp=sharing"",""ลพบุรี!I527"")"),10071385.83)</f>
        <v>10071385.83</v>
      </c>
      <c r="J632" s="341">
        <f ca="1">IFERROR(__xludf.DUMMYFUNCTION("IMPORTRANGE(""https://docs.google.com/spreadsheets/d/1SX6NBoVAgQJ6U1MVXOaj8PK2l7WJ3RER9xtqwdhxkhw/edit?usp=sharing"",""ลพบุรี!J527"")"),1521374.22)</f>
        <v>1521374.22</v>
      </c>
      <c r="K632" s="342">
        <f t="shared" ca="1" si="129"/>
        <v>15.105907426048834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IFERROR(__xludf.DUMMYFUNCTION("IMPORTRANGE(""https://docs.google.com/spreadsheets/d/1SX6NBoVAgQJ6U1MVXOaj8PK2l7WJ3RER9xtqwdhxkhw/edit?usp=sharing"",""ลพบุรี!I528"")"),1083)</f>
        <v>1083</v>
      </c>
      <c r="J633" s="341">
        <f ca="1">IFERROR(__xludf.DUMMYFUNCTION("IMPORTRANGE(""https://docs.google.com/spreadsheets/d/1SX6NBoVAgQJ6U1MVXOaj8PK2l7WJ3RER9xtqwdhxkhw/edit?usp=sharing"",""ลพบุรี!J528"")"),346)</f>
        <v>346</v>
      </c>
      <c r="K633" s="342">
        <f t="shared" ca="1" si="129"/>
        <v>31.948291782086795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IFERROR(__xludf.DUMMYFUNCTION("IMPORTRANGE(""https://docs.google.com/spreadsheets/d/1SX6NBoVAgQJ6U1MVXOaj8PK2l7WJ3RER9xtqwdhxkhw/edit?usp=sharing"",""ลพบุรี!I529"")"),10000000)</f>
        <v>10000000</v>
      </c>
      <c r="J634" s="341">
        <f ca="1">IFERROR(__xludf.DUMMYFUNCTION("IMPORTRANGE(""https://docs.google.com/spreadsheets/d/1SX6NBoVAgQJ6U1MVXOaj8PK2l7WJ3RER9xtqwdhxkhw/edit?usp=sharing"",""ลพบุรี!J529"")"),1415000)</f>
        <v>1415000</v>
      </c>
      <c r="K634" s="342">
        <f t="shared" ca="1" si="129"/>
        <v>14.15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IFERROR(__xludf.DUMMYFUNCTION("IMPORTRANGE(""https://docs.google.com/spreadsheets/d/1SX6NBoVAgQJ6U1MVXOaj8PK2l7WJ3RER9xtqwdhxkhw/edit?usp=sharing"",""ลพบุรี!I530"")"),333)</f>
        <v>333</v>
      </c>
      <c r="J635" s="504">
        <f ca="1">IFERROR(__xludf.DUMMYFUNCTION("IMPORTRANGE(""https://docs.google.com/spreadsheets/d/1SX6NBoVAgQJ6U1MVXOaj8PK2l7WJ3RER9xtqwdhxkhw/edit?usp=sharing"",""ลพบุรี!J530"")"),51)</f>
        <v>51</v>
      </c>
      <c r="K635" s="486">
        <f t="shared" ca="1" si="129"/>
        <v>15.315315315315315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270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7672753</v>
      </c>
      <c r="M8" s="23">
        <f t="shared" ca="1" si="0"/>
        <v>3662398.84</v>
      </c>
      <c r="N8" s="23">
        <f t="shared" ca="1" si="0"/>
        <v>2986905.52</v>
      </c>
      <c r="O8" s="22">
        <f t="shared" ref="O8:O16" ca="1" si="1">IF(L8&gt;0,N8*100/L8,0)</f>
        <v>38.928732881144484</v>
      </c>
      <c r="P8" s="22">
        <f t="shared" ref="P8:P16" ca="1" si="2">IF(M8&gt;0,N8*100/M8,0)</f>
        <v>81.555986949799276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7672753</v>
      </c>
      <c r="M10" s="30">
        <f t="shared" ca="1" si="4"/>
        <v>3662398.84</v>
      </c>
      <c r="N10" s="30">
        <f t="shared" ca="1" si="4"/>
        <v>2986905.52</v>
      </c>
      <c r="O10" s="29">
        <f t="shared" ca="1" si="1"/>
        <v>38.928732881144484</v>
      </c>
      <c r="P10" s="29">
        <f t="shared" ca="1" si="2"/>
        <v>81.555986949799276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7477753</v>
      </c>
      <c r="M12" s="38">
        <f t="shared" ca="1" si="6"/>
        <v>3467398.84</v>
      </c>
      <c r="N12" s="38">
        <f t="shared" ca="1" si="6"/>
        <v>2791905.52</v>
      </c>
      <c r="O12" s="38">
        <f t="shared" ca="1" si="1"/>
        <v>37.336155928124398</v>
      </c>
      <c r="P12" s="38">
        <f t="shared" ca="1" si="2"/>
        <v>80.518730288321834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1924400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5553353</v>
      </c>
      <c r="M14" s="38">
        <f t="shared" si="8"/>
        <v>0</v>
      </c>
      <c r="N14" s="38">
        <f t="shared" ca="1" si="8"/>
        <v>838633.21</v>
      </c>
      <c r="O14" s="38">
        <f t="shared" ca="1" si="1"/>
        <v>15.101384875047561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4704275</v>
      </c>
      <c r="M18" s="23">
        <f t="shared" ca="1" si="11"/>
        <v>3662398.84</v>
      </c>
      <c r="N18" s="23">
        <f t="shared" ca="1" si="11"/>
        <v>2148272.31</v>
      </c>
      <c r="O18" s="22">
        <f t="shared" ref="O18:O20" ca="1" si="12">IF(L18&gt;0,N18*100/L18,0)</f>
        <v>45.666384511959869</v>
      </c>
      <c r="P18" s="22">
        <f t="shared" ref="P18:P26" ca="1" si="13">IF(M18&gt;0,N18*100/M18,0)</f>
        <v>58.657519397860014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4704275</v>
      </c>
      <c r="M20" s="30">
        <f t="shared" ca="1" si="15"/>
        <v>3662398.84</v>
      </c>
      <c r="N20" s="30">
        <f t="shared" ca="1" si="15"/>
        <v>2148272.31</v>
      </c>
      <c r="O20" s="29">
        <f t="shared" ca="1" si="12"/>
        <v>45.666384511959869</v>
      </c>
      <c r="P20" s="29">
        <f t="shared" ca="1" si="13"/>
        <v>58.657519397860014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4509275</v>
      </c>
      <c r="M22" s="41">
        <f t="shared" ca="1" si="18"/>
        <v>3467398.84</v>
      </c>
      <c r="N22" s="38">
        <f t="shared" ca="1" si="18"/>
        <v>1953272.31</v>
      </c>
      <c r="O22" s="38">
        <f t="shared" ca="1" si="17"/>
        <v>43.316770656036724</v>
      </c>
      <c r="P22" s="38">
        <f t="shared" ca="1" si="13"/>
        <v>56.332495917891009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1924400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2584875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195000</v>
      </c>
      <c r="M26" s="49">
        <f t="shared" ca="1" si="22"/>
        <v>195000</v>
      </c>
      <c r="N26" s="49">
        <f t="shared" ca="1" si="22"/>
        <v>195000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2968478</v>
      </c>
      <c r="M28" s="23">
        <f t="shared" si="23"/>
        <v>0</v>
      </c>
      <c r="N28" s="23">
        <f t="shared" ca="1" si="23"/>
        <v>838633.21</v>
      </c>
      <c r="O28" s="22">
        <f t="shared" ref="O28:O30" ca="1" si="24">IF(L28&gt;0,N28*100/L28,0)</f>
        <v>28.251286012562666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2968478</v>
      </c>
      <c r="M30" s="30">
        <f t="shared" si="27"/>
        <v>0</v>
      </c>
      <c r="N30" s="30">
        <f t="shared" ca="1" si="27"/>
        <v>838633.21</v>
      </c>
      <c r="O30" s="29">
        <f t="shared" ca="1" si="24"/>
        <v>28.251286012562666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2968478</v>
      </c>
      <c r="M32" s="38">
        <f t="shared" si="30"/>
        <v>0</v>
      </c>
      <c r="N32" s="38">
        <f t="shared" ca="1" si="30"/>
        <v>838633.21</v>
      </c>
      <c r="O32" s="38">
        <f t="shared" ca="1" si="29"/>
        <v>28.251286012562666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2968478</v>
      </c>
      <c r="M34" s="38">
        <f t="shared" si="32"/>
        <v>0</v>
      </c>
      <c r="N34" s="38">
        <f t="shared" ca="1" si="32"/>
        <v>838633.21</v>
      </c>
      <c r="O34" s="38">
        <f t="shared" ca="1" si="29"/>
        <v>28.251286012562666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4704275</v>
      </c>
      <c r="M37" s="54">
        <f t="shared" ca="1" si="33"/>
        <v>3662398.84</v>
      </c>
      <c r="N37" s="54">
        <f t="shared" ca="1" si="33"/>
        <v>2148272.31</v>
      </c>
      <c r="O37" s="55">
        <f t="shared" ca="1" si="29"/>
        <v>45.666384511959869</v>
      </c>
      <c r="P37" s="55">
        <f t="shared" ca="1" si="25"/>
        <v>58.657519397860014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906900</v>
      </c>
      <c r="M41" s="78">
        <f t="shared" ca="1" si="34"/>
        <v>680200</v>
      </c>
      <c r="N41" s="78">
        <f t="shared" ca="1" si="34"/>
        <v>413118.35</v>
      </c>
      <c r="O41" s="77">
        <f t="shared" ref="O41:O43" ca="1" si="35">IF(L41&gt;0,N41*100/L41,0)</f>
        <v>45.552800749807034</v>
      </c>
      <c r="P41" s="77">
        <f t="shared" ref="P41:P43" ca="1" si="36">IF(M41&gt;0,N41*100/M41,0)</f>
        <v>60.734835342546312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906900</v>
      </c>
      <c r="M43" s="78">
        <f t="shared" ca="1" si="38"/>
        <v>680200</v>
      </c>
      <c r="N43" s="78">
        <f t="shared" ca="1" si="38"/>
        <v>413118.35</v>
      </c>
      <c r="O43" s="77">
        <f t="shared" ca="1" si="35"/>
        <v>45.552800749807034</v>
      </c>
      <c r="P43" s="77">
        <f t="shared" ca="1" si="36"/>
        <v>60.734835342546312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906900</v>
      </c>
      <c r="M45" s="49">
        <f ca="1">IFERROR(__xludf.DUMMYFUNCTION("IMPORTRANGE(""https://docs.google.com/spreadsheets/d/1Yj_ptqi66GCucihVvJfMjLAmec39IyEx_6qawtMGysU/edit?usp=sharing"",""สบก!Q75"")"),680200)</f>
        <v>680200</v>
      </c>
      <c r="N45" s="49">
        <f ca="1">IFERROR(__xludf.DUMMYFUNCTION("IMPORTRANGE(""https://docs.google.com/spreadsheets/d/1Yj_ptqi66GCucihVvJfMjLAmec39IyEx_6qawtMGysU/edit?usp=sharing"",""สบก!R75"")"),413118.35)</f>
        <v>413118.35</v>
      </c>
      <c r="O45" s="38">
        <f ca="1">IF(L45&gt;0,N45*100/L45,0)</f>
        <v>45.552800749807034</v>
      </c>
      <c r="P45" s="38">
        <f ca="1">IF(M45&gt;0,N45*100/M45,0)</f>
        <v>60.734835342546312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IFERROR(__xludf.DUMMYFUNCTION("IMPORTRANGE(""https://docs.google.com/spreadsheets/d/1Yj_ptqi66GCucihVvJfMjLAmec39IyEx_6qawtMGysU/edit?usp=sharing"",""สบก!M75"")"),906900)</f>
        <v>906900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IFERROR(__xludf.DUMMYFUNCTION("IMPORTRANGE(""https://docs.google.com/spreadsheets/d/1Yj_ptqi66GCucihVvJfMjLAmec39IyEx_6qawtMGysU/edit?usp=sharing"",""สบก!N75"")"),0)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IFERROR(__xludf.DUMMYFUNCTION("IMPORTRANGE(""https://docs.google.com/spreadsheets/d/1Yj_ptqi66GCucihVvJfMjLAmec39IyEx_6qawtMGysU/edit?usp=sharing"",""สบก!O75"")"),0)</f>
        <v>0</v>
      </c>
      <c r="M49" s="49"/>
      <c r="N49" s="49">
        <f ca="1">IFERROR(__xludf.DUMMYFUNCTION("IMPORTRANGE(""https://docs.google.com/spreadsheets/d/1Yj_ptqi66GCucihVvJfMjLAmec39IyEx_6qawtMGysU/edit?usp=sharing"",""สบก!S75"")"),0)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327168.84000000003</v>
      </c>
      <c r="N53" s="121">
        <f t="shared" ca="1" si="39"/>
        <v>214960.67</v>
      </c>
      <c r="O53" s="120">
        <f t="shared" ref="O53:O55" ca="1" si="40">IF(L53&gt;0,N53*100/L53,0)</f>
        <v>53.740167499999998</v>
      </c>
      <c r="P53" s="120">
        <f t="shared" ref="P53:P55" ca="1" si="41">IF(M53&gt;0,N53*100/M53,0)</f>
        <v>65.703283356691301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327168.84000000003</v>
      </c>
      <c r="N55" s="121">
        <f t="shared" ca="1" si="43"/>
        <v>214960.67</v>
      </c>
      <c r="O55" s="120">
        <f t="shared" ca="1" si="40"/>
        <v>53.740167499999998</v>
      </c>
      <c r="P55" s="120">
        <f t="shared" ca="1" si="41"/>
        <v>65.703283356691301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IFERROR(__xludf.DUMMYFUNCTION("IMPORTRANGE(""https://docs.google.com/spreadsheets/d/1Yj_ptqi66GCucihVvJfMjLAmec39IyEx_6qawtMGysU/edit?usp=sharing"",""สบก!Z75"")"),327168.84)</f>
        <v>327168.84000000003</v>
      </c>
      <c r="N57" s="49">
        <f ca="1">IFERROR(__xludf.DUMMYFUNCTION("IMPORTRANGE(""https://docs.google.com/spreadsheets/d/1Yj_ptqi66GCucihVvJfMjLAmec39IyEx_6qawtMGysU/edit?usp=sharing"",""สบก!AA75"")"),214960.67)</f>
        <v>214960.67</v>
      </c>
      <c r="O57" s="38">
        <f ca="1">IF(L57&gt;0,N57*100/L57,0)</f>
        <v>53.740167499999998</v>
      </c>
      <c r="P57" s="38">
        <f ca="1">IF(M57&gt;0,N57*100/M57,0)</f>
        <v>65.703283356691301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IFERROR(__xludf.DUMMYFUNCTION("IMPORTRANGE(""https://docs.google.com/spreadsheets/d/1Yj_ptqi66GCucihVvJfMjLAmec39IyEx_6qawtMGysU/edit?usp=sharing"",""สบก!V75"")"),400000)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IFERROR(__xludf.DUMMYFUNCTION("IMPORTRANGE(""https://docs.google.com/spreadsheets/d/1Yj_ptqi66GCucihVvJfMjLAmec39IyEx_6qawtMGysU/edit?usp=sharing"",""สบก!W75"")"),0)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IFERROR(__xludf.DUMMYFUNCTION("IMPORTRANGE(""https://docs.google.com/spreadsheets/d/1Yj_ptqi66GCucihVvJfMjLAmec39IyEx_6qawtMGysU/edit?usp=sharing"",""สบก!X75"")"),0)</f>
        <v>0</v>
      </c>
      <c r="M61" s="49"/>
      <c r="N61" s="49">
        <f ca="1">IFERROR(__xludf.DUMMYFUNCTION("IMPORTRANGE(""https://docs.google.com/spreadsheets/d/1Yj_ptqi66GCucihVvJfMjLAmec39IyEx_6qawtMGysU/edit?usp=sharing"",""สบก!AB75"")"),0)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IFERROR(__xludf.DUMMYFUNCTION("IMPORTRANGE(""https://docs.google.com/spreadsheets/d/1SX6NBoVAgQJ6U1MVXOaj8PK2l7WJ3RER9xtqwdhxkhw/edit?usp=sharing"",""สระแก้ว!I9"")"),1)</f>
        <v>1</v>
      </c>
      <c r="J64" s="142">
        <f ca="1">IFERROR(__xludf.DUMMYFUNCTION("IMPORTRANGE(""https://docs.google.com/spreadsheets/d/1SX6NBoVAgQJ6U1MVXOaj8PK2l7WJ3RER9xtqwdhxkhw/edit?usp=sharing"",""สระแก้ว!J9"")"),1)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IFERROR(__xludf.DUMMYFUNCTION("IMPORTRANGE(""https://docs.google.com/spreadsheets/d/1SX6NBoVAgQJ6U1MVXOaj8PK2l7WJ3RER9xtqwdhxkhw/edit?usp=sharing"",""สระแก้ว!I10"")"),70)</f>
        <v>70</v>
      </c>
      <c r="J65" s="142">
        <f ca="1">IFERROR(__xludf.DUMMYFUNCTION("IMPORTRANGE(""https://docs.google.com/spreadsheets/d/1SX6NBoVAgQJ6U1MVXOaj8PK2l7WJ3RER9xtqwdhxkhw/edit?usp=sharing"",""สระแก้ว!J10"")"),70)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827500</v>
      </c>
      <c r="M66" s="152">
        <f t="shared" ca="1" si="45"/>
        <v>710220</v>
      </c>
      <c r="N66" s="152">
        <f t="shared" ca="1" si="45"/>
        <v>244045.16</v>
      </c>
      <c r="O66" s="151">
        <f t="shared" ref="O66:O68" ca="1" si="46">IF(L66&gt;0,N66*100/L66,0)</f>
        <v>29.491862235649545</v>
      </c>
      <c r="P66" s="151">
        <f t="shared" ref="P66:P68" ca="1" si="47">IF(M66&gt;0,N66*100/M66,0)</f>
        <v>34.361910393962432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827500</v>
      </c>
      <c r="M68" s="157">
        <f t="shared" ca="1" si="49"/>
        <v>710220</v>
      </c>
      <c r="N68" s="157">
        <f t="shared" ca="1" si="49"/>
        <v>244045.16</v>
      </c>
      <c r="O68" s="156">
        <f t="shared" ca="1" si="46"/>
        <v>29.491862235649545</v>
      </c>
      <c r="P68" s="156">
        <f t="shared" ca="1" si="47"/>
        <v>34.361910393962432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779500</v>
      </c>
      <c r="M70" s="168">
        <f ca="1">IFERROR(__xludf.DUMMYFUNCTION("IMPORTRANGE(""https://docs.google.com/spreadsheets/d/1Yj_ptqi66GCucihVvJfMjLAmec39IyEx_6qawtMGysU/edit?usp=sharing"",""สบก!AI75"")"),662220)</f>
        <v>662220</v>
      </c>
      <c r="N70" s="169">
        <f ca="1">IFERROR(__xludf.DUMMYFUNCTION("IMPORTRANGE(""https://docs.google.com/spreadsheets/d/1Yj_ptqi66GCucihVvJfMjLAmec39IyEx_6qawtMGysU/edit?usp=sharing"",""สบก!AJ75"")"),196045.16)</f>
        <v>196045.16</v>
      </c>
      <c r="O70" s="169">
        <f ca="1">IF(L70&gt;0,N70*100/L70,0)</f>
        <v>25.150116741500963</v>
      </c>
      <c r="P70" s="169">
        <f ca="1">IF(M70&gt;0,N70*100/M70,0)</f>
        <v>29.604234242396785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IFERROR(__xludf.DUMMYFUNCTION("IMPORTRANGE(""https://docs.google.com/spreadsheets/d/1Yj_ptqi66GCucihVvJfMjLAmec39IyEx_6qawtMGysU/edit?usp=sharing"",""สบก!AE75"")"),179500)</f>
        <v>179500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IFERROR(__xludf.DUMMYFUNCTION("IMPORTRANGE(""https://docs.google.com/spreadsheets/d/1Yj_ptqi66GCucihVvJfMjLAmec39IyEx_6qawtMGysU/edit?usp=sharing"",""สบก!AF75"")"),600000)</f>
        <v>600000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IFERROR(__xludf.DUMMYFUNCTION("IMPORTRANGE(""https://docs.google.com/spreadsheets/d/1Yj_ptqi66GCucihVvJfMjLAmec39IyEx_6qawtMGysU/edit?usp=sharing"",""สบก!AG75"")"),48000)</f>
        <v>48000</v>
      </c>
      <c r="M74" s="49">
        <f ca="1">L74</f>
        <v>48000</v>
      </c>
      <c r="N74" s="49">
        <f ca="1">IFERROR(__xludf.DUMMYFUNCTION("IMPORTRANGE(""https://docs.google.com/spreadsheets/d/1Yj_ptqi66GCucihVvJfMjLAmec39IyEx_6qawtMGysU/edit?usp=sharing"",""สบก!AK75"")"),48000)</f>
        <v>48000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IFERROR(__xludf.DUMMYFUNCTION("IMPORTRANGE(""https://docs.google.com/spreadsheets/d/1SX6NBoVAgQJ6U1MVXOaj8PK2l7WJ3RER9xtqwdhxkhw/edit?usp=sharing"",""สระแก้ว!J16"")"),0)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IFERROR(__xludf.DUMMYFUNCTION("IMPORTRANGE(""https://docs.google.com/spreadsheets/d/1SX6NBoVAgQJ6U1MVXOaj8PK2l7WJ3RER9xtqwdhxkhw/edit?usp=sharing"",""สระแก้ว!J17"")"),1)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IFERROR(__xludf.DUMMYFUNCTION("IMPORTRANGE(""https://docs.google.com/spreadsheets/d/1SX6NBoVAgQJ6U1MVXOaj8PK2l7WJ3RER9xtqwdhxkhw/edit?usp=sharing"",""สระแก้ว!J18"")"),1)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IFERROR(__xludf.DUMMYFUNCTION("IMPORTRANGE(""https://docs.google.com/spreadsheets/d/1SX6NBoVAgQJ6U1MVXOaj8PK2l7WJ3RER9xtqwdhxkhw/edit?usp=sharing"",""สระแก้ว!J19"")"),1)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IFERROR(__xludf.DUMMYFUNCTION("IMPORTRANGE(""https://docs.google.com/spreadsheets/d/1SX6NBoVAgQJ6U1MVXOaj8PK2l7WJ3RER9xtqwdhxkhw/edit?usp=sharing"",""สระแก้ว!I20"")"),1)</f>
        <v>1</v>
      </c>
      <c r="J80" s="201">
        <f ca="1">IFERROR(__xludf.DUMMYFUNCTION("IMPORTRANGE(""https://docs.google.com/spreadsheets/d/1SX6NBoVAgQJ6U1MVXOaj8PK2l7WJ3RER9xtqwdhxkhw/edit?usp=sharing"",""สระแก้ว!J20"")"),1)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IFERROR(__xludf.DUMMYFUNCTION("IMPORTRANGE(""https://docs.google.com/spreadsheets/d/1SX6NBoVAgQJ6U1MVXOaj8PK2l7WJ3RER9xtqwdhxkhw/edit?usp=sharing"",""สระแก้ว!I21"")"),70)</f>
        <v>70</v>
      </c>
      <c r="J81" s="201">
        <f ca="1">IFERROR(__xludf.DUMMYFUNCTION("IMPORTRANGE(""https://docs.google.com/spreadsheets/d/1SX6NBoVAgQJ6U1MVXOaj8PK2l7WJ3RER9xtqwdhxkhw/edit?usp=sharing"",""สระแก้ว!J21"")"),70)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IFERROR(__xludf.DUMMYFUNCTION("IMPORTRANGE(""https://docs.google.com/spreadsheets/d/1SX6NBoVAgQJ6U1MVXOaj8PK2l7WJ3RER9xtqwdhxkhw/edit?usp=sharing"",""สระแก้ว!I22"")"),1)</f>
        <v>1</v>
      </c>
      <c r="J82" s="204">
        <f ca="1">IFERROR(__xludf.DUMMYFUNCTION("IMPORTRANGE(""https://docs.google.com/spreadsheets/d/1SX6NBoVAgQJ6U1MVXOaj8PK2l7WJ3RER9xtqwdhxkhw/edit?usp=sharing"",""สระแก้ว!J22"")"),1)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IFERROR(__xludf.DUMMYFUNCTION("IMPORTRANGE(""https://docs.google.com/spreadsheets/d/1SX6NBoVAgQJ6U1MVXOaj8PK2l7WJ3RER9xtqwdhxkhw/edit?usp=sharing"",""สระแก้ว!I23"")"),70)</f>
        <v>70</v>
      </c>
      <c r="J83" s="204">
        <f ca="1">IFERROR(__xludf.DUMMYFUNCTION("IMPORTRANGE(""https://docs.google.com/spreadsheets/d/1SX6NBoVAgQJ6U1MVXOaj8PK2l7WJ3RER9xtqwdhxkhw/edit?usp=sharing"",""สระแก้ว!J23"")"),70)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IFERROR(__xludf.DUMMYFUNCTION("IMPORTRANGE(""https://docs.google.com/spreadsheets/d/1SX6NBoVAgQJ6U1MVXOaj8PK2l7WJ3RER9xtqwdhxkhw/edit?usp=sharing"",""สระแก้ว!I24"")"),0)</f>
        <v>0</v>
      </c>
      <c r="J84" s="189">
        <f ca="1">IFERROR(__xludf.DUMMYFUNCTION("IMPORTRANGE(""https://docs.google.com/spreadsheets/d/1SX6NBoVAgQJ6U1MVXOaj8PK2l7WJ3RER9xtqwdhxkhw/edit?usp=sharing"",""สระแก้ว!J24"")"),0)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IFERROR(__xludf.DUMMYFUNCTION("IMPORTRANGE(""https://docs.google.com/spreadsheets/d/1SX6NBoVAgQJ6U1MVXOaj8PK2l7WJ3RER9xtqwdhxkhw/edit?usp=sharing"",""สระแก้ว!I25"")"),0)</f>
        <v>0</v>
      </c>
      <c r="J85" s="189">
        <f ca="1">IFERROR(__xludf.DUMMYFUNCTION("IMPORTRANGE(""https://docs.google.com/spreadsheets/d/1SX6NBoVAgQJ6U1MVXOaj8PK2l7WJ3RER9xtqwdhxkhw/edit?usp=sharing"",""สระแก้ว!J25"")"),0)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IFERROR(__xludf.DUMMYFUNCTION("IMPORTRANGE(""https://docs.google.com/spreadsheets/d/1SX6NBoVAgQJ6U1MVXOaj8PK2l7WJ3RER9xtqwdhxkhw/edit?usp=sharing"",""สระแก้ว!I26"")"),0)</f>
        <v>0</v>
      </c>
      <c r="J86" s="204">
        <f ca="1">IFERROR(__xludf.DUMMYFUNCTION("IMPORTRANGE(""https://docs.google.com/spreadsheets/d/1SX6NBoVAgQJ6U1MVXOaj8PK2l7WJ3RER9xtqwdhxkhw/edit?usp=sharing"",""สระแก้ว!J26"")"),0)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IFERROR(__xludf.DUMMYFUNCTION("IMPORTRANGE(""https://docs.google.com/spreadsheets/d/1SX6NBoVAgQJ6U1MVXOaj8PK2l7WJ3RER9xtqwdhxkhw/edit?usp=sharing"",""สระแก้ว!I27"")"),0)</f>
        <v>0</v>
      </c>
      <c r="J87" s="204">
        <f ca="1">IFERROR(__xludf.DUMMYFUNCTION("IMPORTRANGE(""https://docs.google.com/spreadsheets/d/1SX6NBoVAgQJ6U1MVXOaj8PK2l7WJ3RER9xtqwdhxkhw/edit?usp=sharing"",""สระแก้ว!J27"")"),0)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IFERROR(__xludf.DUMMYFUNCTION("IMPORTRANGE(""https://docs.google.com/spreadsheets/d/1SX6NBoVAgQJ6U1MVXOaj8PK2l7WJ3RER9xtqwdhxkhw/edit?usp=sharing"",""สระแก้ว!I28"")"),70)</f>
        <v>70</v>
      </c>
      <c r="J88" s="204">
        <f ca="1">IFERROR(__xludf.DUMMYFUNCTION("IMPORTRANGE(""https://docs.google.com/spreadsheets/d/1SX6NBoVAgQJ6U1MVXOaj8PK2l7WJ3RER9xtqwdhxkhw/edit?usp=sharing"",""สระแก้ว!J28"")"),0)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IFERROR(__xludf.DUMMYFUNCTION("IMPORTRANGE(""https://docs.google.com/spreadsheets/d/1SX6NBoVAgQJ6U1MVXOaj8PK2l7WJ3RER9xtqwdhxkhw/edit?usp=sharing"",""สระแก้ว!J29"")"),0)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IFERROR(__xludf.DUMMYFUNCTION("IMPORTRANGE(""https://docs.google.com/spreadsheets/d/1SX6NBoVAgQJ6U1MVXOaj8PK2l7WJ3RER9xtqwdhxkhw/edit?usp=sharing"",""สระแก้ว!J30"")"),0)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IFERROR(__xludf.DUMMYFUNCTION("IMPORTRANGE(""https://docs.google.com/spreadsheets/d/1SX6NBoVAgQJ6U1MVXOaj8PK2l7WJ3RER9xtqwdhxkhw/edit?usp=sharing"",""สระแก้ว!I32"")"),0)</f>
        <v>0</v>
      </c>
      <c r="J92" s="142">
        <f ca="1">IFERROR(__xludf.DUMMYFUNCTION("IMPORTRANGE(""https://docs.google.com/spreadsheets/d/1SX6NBoVAgQJ6U1MVXOaj8PK2l7WJ3RER9xtqwdhxkhw/edit?usp=sharing"",""สระแก้ว!J32"")"),0)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IFERROR(__xludf.DUMMYFUNCTION("IMPORTRANGE(""https://docs.google.com/spreadsheets/d/1SX6NBoVAgQJ6U1MVXOaj8PK2l7WJ3RER9xtqwdhxkhw/edit?usp=sharing"",""สระแก้ว!I33"")"),0)</f>
        <v>0</v>
      </c>
      <c r="J93" s="142">
        <f ca="1">IFERROR(__xludf.DUMMYFUNCTION("IMPORTRANGE(""https://docs.google.com/spreadsheets/d/1SX6NBoVAgQJ6U1MVXOaj8PK2l7WJ3RER9xtqwdhxkhw/edit?usp=sharing"",""สระแก้ว!J33"")"),0)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IFERROR(__xludf.DUMMYFUNCTION("IMPORTRANGE(""https://docs.google.com/spreadsheets/d/1Yj_ptqi66GCucihVvJfMjLAmec39IyEx_6qawtMGysU/edit?usp=sharing"",""สบก!AR75"")"),0)</f>
        <v>0</v>
      </c>
      <c r="N98" s="169">
        <f ca="1">IFERROR(__xludf.DUMMYFUNCTION("IMPORTRANGE(""https://docs.google.com/spreadsheets/d/1Yj_ptqi66GCucihVvJfMjLAmec39IyEx_6qawtMGysU/edit?usp=sharing"",""สบก!AS75"")"),0)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IFERROR(__xludf.DUMMYFUNCTION("IMPORTRANGE(""https://docs.google.com/spreadsheets/d/1Yj_ptqi66GCucihVvJfMjLAmec39IyEx_6qawtMGysU/edit?usp=sharing"",""สบก!AN75"")"),0)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IFERROR(__xludf.DUMMYFUNCTION("IMPORTRANGE(""https://docs.google.com/spreadsheets/d/1Yj_ptqi66GCucihVvJfMjLAmec39IyEx_6qawtMGysU/edit?usp=sharing"",""สบก!AO75"")"),0)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IFERROR(__xludf.DUMMYFUNCTION("IMPORTRANGE(""https://docs.google.com/spreadsheets/d/1Yj_ptqi66GCucihVvJfMjLAmec39IyEx_6qawtMGysU/edit?usp=sharing"",""สบก!AP75"")"),0)</f>
        <v>0</v>
      </c>
      <c r="M102" s="49"/>
      <c r="N102" s="49">
        <f ca="1">IFERROR(__xludf.DUMMYFUNCTION("IMPORTRANGE(""https://docs.google.com/spreadsheets/d/1Yj_ptqi66GCucihVvJfMjLAmec39IyEx_6qawtMGysU/edit?usp=sharing"",""สบก!AT75"")"),0)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IFERROR(__xludf.DUMMYFUNCTION("IMPORTRANGE(""https://docs.google.com/spreadsheets/d/1SX6NBoVAgQJ6U1MVXOaj8PK2l7WJ3RER9xtqwdhxkhw/edit?usp=sharing"",""สระแก้ว!J39"")"),0)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IFERROR(__xludf.DUMMYFUNCTION("IMPORTRANGE(""https://docs.google.com/spreadsheets/d/1SX6NBoVAgQJ6U1MVXOaj8PK2l7WJ3RER9xtqwdhxkhw/edit?usp=sharing"",""สระแก้ว!J40"")"),0)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IFERROR(__xludf.DUMMYFUNCTION("IMPORTRANGE(""https://docs.google.com/spreadsheets/d/1SX6NBoVAgQJ6U1MVXOaj8PK2l7WJ3RER9xtqwdhxkhw/edit?usp=sharing"",""สระแก้ว!J41"")"),0)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IFERROR(__xludf.DUMMYFUNCTION("IMPORTRANGE(""https://docs.google.com/spreadsheets/d/1SX6NBoVAgQJ6U1MVXOaj8PK2l7WJ3RER9xtqwdhxkhw/edit?usp=sharing"",""สระแก้ว!J42"")"),0)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IFERROR(__xludf.DUMMYFUNCTION("IMPORTRANGE(""https://docs.google.com/spreadsheets/d/1SX6NBoVAgQJ6U1MVXOaj8PK2l7WJ3RER9xtqwdhxkhw/edit?usp=sharing"",""สระแก้ว!I43"")"),0)</f>
        <v>0</v>
      </c>
      <c r="J108" s="204">
        <f ca="1">IFERROR(__xludf.DUMMYFUNCTION("IMPORTRANGE(""https://docs.google.com/spreadsheets/d/1SX6NBoVAgQJ6U1MVXOaj8PK2l7WJ3RER9xtqwdhxkhw/edit?usp=sharing"",""สระแก้ว!J43"")"),0)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IFERROR(__xludf.DUMMYFUNCTION("IMPORTRANGE(""https://docs.google.com/spreadsheets/d/1SX6NBoVAgQJ6U1MVXOaj8PK2l7WJ3RER9xtqwdhxkhw/edit?usp=sharing"",""สระแก้ว!I44"")"),0)</f>
        <v>0</v>
      </c>
      <c r="J109" s="204">
        <f ca="1">IFERROR(__xludf.DUMMYFUNCTION("IMPORTRANGE(""https://docs.google.com/spreadsheets/d/1SX6NBoVAgQJ6U1MVXOaj8PK2l7WJ3RER9xtqwdhxkhw/edit?usp=sharing"",""สระแก้ว!J44"")"),0)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IFERROR(__xludf.DUMMYFUNCTION("IMPORTRANGE(""https://docs.google.com/spreadsheets/d/1SX6NBoVAgQJ6U1MVXOaj8PK2l7WJ3RER9xtqwdhxkhw/edit?usp=sharing"",""สระแก้ว!I45"")"),0)</f>
        <v>0</v>
      </c>
      <c r="J110" s="204">
        <f ca="1">IFERROR(__xludf.DUMMYFUNCTION("IMPORTRANGE(""https://docs.google.com/spreadsheets/d/1SX6NBoVAgQJ6U1MVXOaj8PK2l7WJ3RER9xtqwdhxkhw/edit?usp=sharing"",""สระแก้ว!J45"")"),0)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IFERROR(__xludf.DUMMYFUNCTION("IMPORTRANGE(""https://docs.google.com/spreadsheets/d/1SX6NBoVAgQJ6U1MVXOaj8PK2l7WJ3RER9xtqwdhxkhw/edit?usp=sharing"",""สระแก้ว!I46"")"),0)</f>
        <v>0</v>
      </c>
      <c r="J111" s="204">
        <f ca="1">IFERROR(__xludf.DUMMYFUNCTION("IMPORTRANGE(""https://docs.google.com/spreadsheets/d/1SX6NBoVAgQJ6U1MVXOaj8PK2l7WJ3RER9xtqwdhxkhw/edit?usp=sharing"",""สระแก้ว!J46"")"),0)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IFERROR(__xludf.DUMMYFUNCTION("IMPORTRANGE(""https://docs.google.com/spreadsheets/d/1SX6NBoVAgQJ6U1MVXOaj8PK2l7WJ3RER9xtqwdhxkhw/edit?usp=sharing"",""สระแก้ว!I47"")"),0)</f>
        <v>0</v>
      </c>
      <c r="J112" s="204">
        <f ca="1">IFERROR(__xludf.DUMMYFUNCTION("IMPORTRANGE(""https://docs.google.com/spreadsheets/d/1SX6NBoVAgQJ6U1MVXOaj8PK2l7WJ3RER9xtqwdhxkhw/edit?usp=sharing"",""สระแก้ว!J47"")"),0)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IFERROR(__xludf.DUMMYFUNCTION("IMPORTRANGE(""https://docs.google.com/spreadsheets/d/1SX6NBoVAgQJ6U1MVXOaj8PK2l7WJ3RER9xtqwdhxkhw/edit?usp=sharing"",""สระแก้ว!I48"")"),0)</f>
        <v>0</v>
      </c>
      <c r="J113" s="204">
        <f ca="1">IFERROR(__xludf.DUMMYFUNCTION("IMPORTRANGE(""https://docs.google.com/spreadsheets/d/1SX6NBoVAgQJ6U1MVXOaj8PK2l7WJ3RER9xtqwdhxkhw/edit?usp=sharing"",""สระแก้ว!J48"")"),0)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IFERROR(__xludf.DUMMYFUNCTION("IMPORTRANGE(""https://docs.google.com/spreadsheets/d/1SX6NBoVAgQJ6U1MVXOaj8PK2l7WJ3RER9xtqwdhxkhw/edit?usp=sharing"",""สระแก้ว!J49"")"),0)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IFERROR(__xludf.DUMMYFUNCTION("IMPORTRANGE(""https://docs.google.com/spreadsheets/d/1SX6NBoVAgQJ6U1MVXOaj8PK2l7WJ3RER9xtqwdhxkhw/edit?usp=sharing"",""สระแก้ว!J50"")"),0)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IFERROR(__xludf.DUMMYFUNCTION("IMPORTRANGE(""https://docs.google.com/spreadsheets/d/1SX6NBoVAgQJ6U1MVXOaj8PK2l7WJ3RER9xtqwdhxkhw/edit?usp=sharing"",""สระแก้ว!I52"")"),0)</f>
        <v>0</v>
      </c>
      <c r="J117" s="142">
        <f ca="1">IFERROR(__xludf.DUMMYFUNCTION("IMPORTRANGE(""https://docs.google.com/spreadsheets/d/1SX6NBoVAgQJ6U1MVXOaj8PK2l7WJ3RER9xtqwdhxkhw/edit?usp=sharing"",""สระแก้ว!J52"")"),0)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IFERROR(__xludf.DUMMYFUNCTION("IMPORTRANGE(""https://docs.google.com/spreadsheets/d/1Yj_ptqi66GCucihVvJfMjLAmec39IyEx_6qawtMGysU/edit?usp=sharing"",""สบก!BA75"")"),0)</f>
        <v>0</v>
      </c>
      <c r="N122" s="169">
        <f ca="1">IFERROR(__xludf.DUMMYFUNCTION("IMPORTRANGE(""https://docs.google.com/spreadsheets/d/1Yj_ptqi66GCucihVvJfMjLAmec39IyEx_6qawtMGysU/edit?usp=sharing"",""สบก!BB75"")"),0)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IFERROR(__xludf.DUMMYFUNCTION("IMPORTRANGE(""https://docs.google.com/spreadsheets/d/1Yj_ptqi66GCucihVvJfMjLAmec39IyEx_6qawtMGysU/edit?usp=sharing"",""สบก!AW75"")"),0)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IFERROR(__xludf.DUMMYFUNCTION("IMPORTRANGE(""https://docs.google.com/spreadsheets/d/1Yj_ptqi66GCucihVvJfMjLAmec39IyEx_6qawtMGysU/edit?usp=sharing"",""สบก!AX75"")"),0)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IFERROR(__xludf.DUMMYFUNCTION("IMPORTRANGE(""https://docs.google.com/spreadsheets/d/1Yj_ptqi66GCucihVvJfMjLAmec39IyEx_6qawtMGysU/edit?usp=sharing"",""สบก!AY75"")"),0)</f>
        <v>0</v>
      </c>
      <c r="M126" s="49"/>
      <c r="N126" s="49">
        <f ca="1">IFERROR(__xludf.DUMMYFUNCTION("IMPORTRANGE(""https://docs.google.com/spreadsheets/d/1Yj_ptqi66GCucihVvJfMjLAmec39IyEx_6qawtMGysU/edit?usp=sharing"",""สบก!BC75"")"),0)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271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IFERROR(__xludf.DUMMYFUNCTION("IMPORTRANGE(""https://docs.google.com/spreadsheets/d/1SX6NBoVAgQJ6U1MVXOaj8PK2l7WJ3RER9xtqwdhxkhw/edit?usp=sharing"",""สระแก้ว!J58"")"),0)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IFERROR(__xludf.DUMMYFUNCTION("IMPORTRANGE(""https://docs.google.com/spreadsheets/d/1SX6NBoVAgQJ6U1MVXOaj8PK2l7WJ3RER9xtqwdhxkhw/edit?usp=sharing"",""สระแก้ว!J59"")"),0)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IFERROR(__xludf.DUMMYFUNCTION("IMPORTRANGE(""https://docs.google.com/spreadsheets/d/1SX6NBoVAgQJ6U1MVXOaj8PK2l7WJ3RER9xtqwdhxkhw/edit?usp=sharing"",""สระแก้ว!J60"")"),0)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IFERROR(__xludf.DUMMYFUNCTION("IMPORTRANGE(""https://docs.google.com/spreadsheets/d/1SX6NBoVAgQJ6U1MVXOaj8PK2l7WJ3RER9xtqwdhxkhw/edit?usp=sharing"",""สระแก้ว!J61"")"),0)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IFERROR(__xludf.DUMMYFUNCTION("IMPORTRANGE(""https://docs.google.com/spreadsheets/d/1SX6NBoVAgQJ6U1MVXOaj8PK2l7WJ3RER9xtqwdhxkhw/edit?usp=sharing"",""สระแก้ว!I62"")"),0)</f>
        <v>0</v>
      </c>
      <c r="J132" s="204">
        <f ca="1">IFERROR(__xludf.DUMMYFUNCTION("IMPORTRANGE(""https://docs.google.com/spreadsheets/d/1SX6NBoVAgQJ6U1MVXOaj8PK2l7WJ3RER9xtqwdhxkhw/edit?usp=sharing"",""สระแก้ว!J62"")"),0)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IFERROR(__xludf.DUMMYFUNCTION("IMPORTRANGE(""https://docs.google.com/spreadsheets/d/1SX6NBoVAgQJ6U1MVXOaj8PK2l7WJ3RER9xtqwdhxkhw/edit?usp=sharing"",""สระแก้ว!I63"")"),0)</f>
        <v>0</v>
      </c>
      <c r="J133" s="204">
        <f ca="1">IFERROR(__xludf.DUMMYFUNCTION("IMPORTRANGE(""https://docs.google.com/spreadsheets/d/1SX6NBoVAgQJ6U1MVXOaj8PK2l7WJ3RER9xtqwdhxkhw/edit?usp=sharing"",""สระแก้ว!J63"")"),0)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IFERROR(__xludf.DUMMYFUNCTION("IMPORTRANGE(""https://docs.google.com/spreadsheets/d/1SX6NBoVAgQJ6U1MVXOaj8PK2l7WJ3RER9xtqwdhxkhw/edit?usp=sharing"",""สระแก้ว!J64"")"),0)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IFERROR(__xludf.DUMMYFUNCTION("IMPORTRANGE(""https://docs.google.com/spreadsheets/d/1SX6NBoVAgQJ6U1MVXOaj8PK2l7WJ3RER9xtqwdhxkhw/edit?usp=sharing"",""สระแก้ว!J65"")"),0)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IFERROR(__xludf.DUMMYFUNCTION("IMPORTRANGE(""https://docs.google.com/spreadsheets/d/1SX6NBoVAgQJ6U1MVXOaj8PK2l7WJ3RER9xtqwdhxkhw/edit?usp=sharing"",""สระแก้ว!I68"")"),60)</f>
        <v>60</v>
      </c>
      <c r="J138" s="267">
        <f ca="1">IFERROR(__xludf.DUMMYFUNCTION("IMPORTRANGE(""https://docs.google.com/spreadsheets/d/1SX6NBoVAgQJ6U1MVXOaj8PK2l7WJ3RER9xtqwdhxkhw/edit?usp=sharing"",""สระแก้ว!J68"")"),60)</f>
        <v>60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479100</v>
      </c>
      <c r="M140" s="152">
        <f t="shared" ca="1" si="64"/>
        <v>401725</v>
      </c>
      <c r="N140" s="152">
        <f t="shared" ca="1" si="64"/>
        <v>277539.01</v>
      </c>
      <c r="O140" s="151">
        <f t="shared" ref="O140:O142" ca="1" si="65">IF(L140&gt;0,N140*100/L140,0)</f>
        <v>57.929244416614488</v>
      </c>
      <c r="P140" s="151">
        <f t="shared" ref="P140:P142" ca="1" si="66">IF(M140&gt;0,N140*100/M140,0)</f>
        <v>69.086815607691832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479100</v>
      </c>
      <c r="M142" s="157">
        <f t="shared" ca="1" si="68"/>
        <v>401725</v>
      </c>
      <c r="N142" s="157">
        <f t="shared" ca="1" si="68"/>
        <v>277539.01</v>
      </c>
      <c r="O142" s="156">
        <f t="shared" ca="1" si="65"/>
        <v>57.929244416614488</v>
      </c>
      <c r="P142" s="156">
        <f t="shared" ca="1" si="66"/>
        <v>69.086815607691832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479100</v>
      </c>
      <c r="M144" s="168">
        <f ca="1">IFERROR(__xludf.DUMMYFUNCTION("IMPORTRANGE(""https://docs.google.com/spreadsheets/d/1Yj_ptqi66GCucihVvJfMjLAmec39IyEx_6qawtMGysU/edit?usp=sharing"",""สบก!BJ75"")"),401725)</f>
        <v>401725</v>
      </c>
      <c r="N144" s="169">
        <f ca="1">IFERROR(__xludf.DUMMYFUNCTION("IMPORTRANGE(""https://docs.google.com/spreadsheets/d/1Yj_ptqi66GCucihVvJfMjLAmec39IyEx_6qawtMGysU/edit?usp=sharing"",""สบก!BK75"")"),277539.01)</f>
        <v>277539.01</v>
      </c>
      <c r="O144" s="169">
        <f ca="1">IF(L144&gt;0,N144*100/L144,0)</f>
        <v>57.929244416614488</v>
      </c>
      <c r="P144" s="169">
        <f ca="1">IF(M144&gt;0,N144*100/M144,0)</f>
        <v>69.086815607691832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IFERROR(__xludf.DUMMYFUNCTION("IMPORTRANGE(""https://docs.google.com/spreadsheets/d/1Yj_ptqi66GCucihVvJfMjLAmec39IyEx_6qawtMGysU/edit?usp=sharing"",""สบก!BF75"")"),132000)</f>
        <v>132000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IFERROR(__xludf.DUMMYFUNCTION("IMPORTRANGE(""https://docs.google.com/spreadsheets/d/1Yj_ptqi66GCucihVvJfMjLAmec39IyEx_6qawtMGysU/edit?usp=sharing"",""สบก!BG75"")"),347100)</f>
        <v>347100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IFERROR(__xludf.DUMMYFUNCTION("IMPORTRANGE(""https://docs.google.com/spreadsheets/d/1Yj_ptqi66GCucihVvJfMjLAmec39IyEx_6qawtMGysU/edit?usp=sharing"",""สบก!BH75"")"),0)</f>
        <v>0</v>
      </c>
      <c r="M148" s="49"/>
      <c r="N148" s="49">
        <f ca="1">IFERROR(__xludf.DUMMYFUNCTION("IMPORTRANGE(""https://docs.google.com/spreadsheets/d/1Yj_ptqi66GCucihVvJfMjLAmec39IyEx_6qawtMGysU/edit?usp=sharing"",""สบก!BL75"")"),0)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IFERROR(__xludf.DUMMYFUNCTION("IMPORTRANGE(""https://docs.google.com/spreadsheets/d/1SX6NBoVAgQJ6U1MVXOaj8PK2l7WJ3RER9xtqwdhxkhw/edit?usp=sharing"",""สระแก้ว!I74"")"),4)</f>
        <v>4</v>
      </c>
      <c r="J149" s="275">
        <f ca="1">IFERROR(__xludf.DUMMYFUNCTION("IMPORTRANGE(""https://docs.google.com/spreadsheets/d/1SX6NBoVAgQJ6U1MVXOaj8PK2l7WJ3RER9xtqwdhxkhw/edit?usp=sharing"",""สระแก้ว!J74"")"),2)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IFERROR(__xludf.DUMMYFUNCTION("IMPORTRANGE(""https://docs.google.com/spreadsheets/d/1SX6NBoVAgQJ6U1MVXOaj8PK2l7WJ3RER9xtqwdhxkhw/edit?usp=sharing"",""สระแก้ว!J79"")"),0)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IFERROR(__xludf.DUMMYFUNCTION("IMPORTRANGE(""https://docs.google.com/spreadsheets/d/1SX6NBoVAgQJ6U1MVXOaj8PK2l7WJ3RER9xtqwdhxkhw/edit?usp=sharing"",""สระแก้ว!J80"")"),1)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IFERROR(__xludf.DUMMYFUNCTION("IMPORTRANGE(""https://docs.google.com/spreadsheets/d/1SX6NBoVAgQJ6U1MVXOaj8PK2l7WJ3RER9xtqwdhxkhw/edit?usp=sharing"",""สระแก้ว!J81"")"),0)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IFERROR(__xludf.DUMMYFUNCTION("IMPORTRANGE(""https://docs.google.com/spreadsheets/d/1SX6NBoVAgQJ6U1MVXOaj8PK2l7WJ3RER9xtqwdhxkhw/edit?usp=sharing"",""สระแก้ว!J82"")"),0)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IFERROR(__xludf.DUMMYFUNCTION("IMPORTRANGE(""https://docs.google.com/spreadsheets/d/1SX6NBoVAgQJ6U1MVXOaj8PK2l7WJ3RER9xtqwdhxkhw/edit?usp=sharing"",""สระแก้ว!I83"")"),4)</f>
        <v>4</v>
      </c>
      <c r="J158" s="189">
        <f ca="1">IFERROR(__xludf.DUMMYFUNCTION("IMPORTRANGE(""https://docs.google.com/spreadsheets/d/1SX6NBoVAgQJ6U1MVXOaj8PK2l7WJ3RER9xtqwdhxkhw/edit?usp=sharing"",""สระแก้ว!J83"")"),2)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IFERROR(__xludf.DUMMYFUNCTION("IMPORTRANGE(""https://docs.google.com/spreadsheets/d/1SX6NBoVAgQJ6U1MVXOaj8PK2l7WJ3RER9xtqwdhxkhw/edit?usp=sharing"",""สระแก้ว!J84"")"),0)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IFERROR(__xludf.DUMMYFUNCTION("IMPORTRANGE(""https://docs.google.com/spreadsheets/d/1SX6NBoVAgQJ6U1MVXOaj8PK2l7WJ3RER9xtqwdhxkhw/edit?usp=sharing"",""สระแก้ว!J85"")"),0)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IFERROR(__xludf.DUMMYFUNCTION("IMPORTRANGE(""https://docs.google.com/spreadsheets/d/1SX6NBoVAgQJ6U1MVXOaj8PK2l7WJ3RER9xtqwdhxkhw/edit?usp=sharing"",""สระแก้ว!J86"")"),0)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IFERROR(__xludf.DUMMYFUNCTION("IMPORTRANGE(""https://docs.google.com/spreadsheets/d/1SX6NBoVAgQJ6U1MVXOaj8PK2l7WJ3RER9xtqwdhxkhw/edit?usp=sharing"",""สระแก้ว!J87"")"),0)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IFERROR(__xludf.DUMMYFUNCTION("IMPORTRANGE(""https://docs.google.com/spreadsheets/d/1SX6NBoVAgQJ6U1MVXOaj8PK2l7WJ3RER9xtqwdhxkhw/edit?usp=sharing"",""สระแก้ว!J88"")"),0)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IFERROR(__xludf.DUMMYFUNCTION("IMPORTRANGE(""https://docs.google.com/spreadsheets/d/1SX6NBoVAgQJ6U1MVXOaj8PK2l7WJ3RER9xtqwdhxkhw/edit?usp=sharing"",""สระแก้ว!I89"")"),3)</f>
        <v>3</v>
      </c>
      <c r="J164" s="284">
        <f ca="1">IFERROR(__xludf.DUMMYFUNCTION("IMPORTRANGE(""https://docs.google.com/spreadsheets/d/1SX6NBoVAgQJ6U1MVXOaj8PK2l7WJ3RER9xtqwdhxkhw/edit?usp=sharing"",""สระแก้ว!J89"")"),3)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IFERROR(__xludf.DUMMYFUNCTION("IMPORTRANGE(""https://docs.google.com/spreadsheets/d/1SX6NBoVAgQJ6U1MVXOaj8PK2l7WJ3RER9xtqwdhxkhw/edit?usp=sharing"",""สระแก้ว!J94"")"),0)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IFERROR(__xludf.DUMMYFUNCTION("IMPORTRANGE(""https://docs.google.com/spreadsheets/d/1SX6NBoVAgQJ6U1MVXOaj8PK2l7WJ3RER9xtqwdhxkhw/edit?usp=sharing"",""สระแก้ว!J95"")"),1)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IFERROR(__xludf.DUMMYFUNCTION("IMPORTRANGE(""https://docs.google.com/spreadsheets/d/1SX6NBoVAgQJ6U1MVXOaj8PK2l7WJ3RER9xtqwdhxkhw/edit?usp=sharing"",""สระแก้ว!J96"")"),1)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IFERROR(__xludf.DUMMYFUNCTION("IMPORTRANGE(""https://docs.google.com/spreadsheets/d/1SX6NBoVAgQJ6U1MVXOaj8PK2l7WJ3RER9xtqwdhxkhw/edit?usp=sharing"",""สระแก้ว!J97"")"),1)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IFERROR(__xludf.DUMMYFUNCTION("IMPORTRANGE(""https://docs.google.com/spreadsheets/d/1SX6NBoVAgQJ6U1MVXOaj8PK2l7WJ3RER9xtqwdhxkhw/edit?usp=sharing"",""สระแก้ว!I98"")"),3)</f>
        <v>3</v>
      </c>
      <c r="J173" s="189">
        <f ca="1">IFERROR(__xludf.DUMMYFUNCTION("IMPORTRANGE(""https://docs.google.com/spreadsheets/d/1SX6NBoVAgQJ6U1MVXOaj8PK2l7WJ3RER9xtqwdhxkhw/edit?usp=sharing"",""สระแก้ว!J98"")"),3)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IFERROR(__xludf.DUMMYFUNCTION("IMPORTRANGE(""https://docs.google.com/spreadsheets/d/1SX6NBoVAgQJ6U1MVXOaj8PK2l7WJ3RER9xtqwdhxkhw/edit?usp=sharing"",""สระแก้ว!J99"")"),0)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IFERROR(__xludf.DUMMYFUNCTION("IMPORTRANGE(""https://docs.google.com/spreadsheets/d/1SX6NBoVAgQJ6U1MVXOaj8PK2l7WJ3RER9xtqwdhxkhw/edit?usp=sharing"",""สระแก้ว!J100"")"),0)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IFERROR(__xludf.DUMMYFUNCTION("IMPORTRANGE(""https://docs.google.com/spreadsheets/d/1SX6NBoVAgQJ6U1MVXOaj8PK2l7WJ3RER9xtqwdhxkhw/edit?usp=sharing"",""สระแก้ว!I101"")"),6)</f>
        <v>6</v>
      </c>
      <c r="J176" s="284">
        <f ca="1">IFERROR(__xludf.DUMMYFUNCTION("IMPORTRANGE(""https://docs.google.com/spreadsheets/d/1SX6NBoVAgQJ6U1MVXOaj8PK2l7WJ3RER9xtqwdhxkhw/edit?usp=sharing"",""สระแก้ว!J101"")"),6)</f>
        <v>6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IFERROR(__xludf.DUMMYFUNCTION("IMPORTRANGE(""https://docs.google.com/spreadsheets/d/1SX6NBoVAgQJ6U1MVXOaj8PK2l7WJ3RER9xtqwdhxkhw/edit?usp=sharing"",""สระแก้ว!J106"")"),0)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IFERROR(__xludf.DUMMYFUNCTION("IMPORTRANGE(""https://docs.google.com/spreadsheets/d/1SX6NBoVAgQJ6U1MVXOaj8PK2l7WJ3RER9xtqwdhxkhw/edit?usp=sharing"",""สระแก้ว!J107"")"),1)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IFERROR(__xludf.DUMMYFUNCTION("IMPORTRANGE(""https://docs.google.com/spreadsheets/d/1SX6NBoVAgQJ6U1MVXOaj8PK2l7WJ3RER9xtqwdhxkhw/edit?usp=sharing"",""สระแก้ว!J108"")"),1)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IFERROR(__xludf.DUMMYFUNCTION("IMPORTRANGE(""https://docs.google.com/spreadsheets/d/1SX6NBoVAgQJ6U1MVXOaj8PK2l7WJ3RER9xtqwdhxkhw/edit?usp=sharing"",""สระแก้ว!J109"")"),1)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IFERROR(__xludf.DUMMYFUNCTION("IMPORTRANGE(""https://docs.google.com/spreadsheets/d/1SX6NBoVAgQJ6U1MVXOaj8PK2l7WJ3RER9xtqwdhxkhw/edit?usp=sharing"",""สระแก้ว!I110"")"),6)</f>
        <v>6</v>
      </c>
      <c r="J185" s="204">
        <f ca="1">IFERROR(__xludf.DUMMYFUNCTION("IMPORTRANGE(""https://docs.google.com/spreadsheets/d/1SX6NBoVAgQJ6U1MVXOaj8PK2l7WJ3RER9xtqwdhxkhw/edit?usp=sharing"",""สระแก้ว!J110"")"),0)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IFERROR(__xludf.DUMMYFUNCTION("IMPORTRANGE(""https://docs.google.com/spreadsheets/d/1SX6NBoVAgQJ6U1MVXOaj8PK2l7WJ3RER9xtqwdhxkhw/edit?usp=sharing"",""สระแก้ว!I111"")"),6)</f>
        <v>6</v>
      </c>
      <c r="J186" s="204">
        <f ca="1">IFERROR(__xludf.DUMMYFUNCTION("IMPORTRANGE(""https://docs.google.com/spreadsheets/d/1SX6NBoVAgQJ6U1MVXOaj8PK2l7WJ3RER9xtqwdhxkhw/edit?usp=sharing"",""สระแก้ว!J111"")"),6)</f>
        <v>6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IFERROR(__xludf.DUMMYFUNCTION("IMPORTRANGE(""https://docs.google.com/spreadsheets/d/1SX6NBoVAgQJ6U1MVXOaj8PK2l7WJ3RER9xtqwdhxkhw/edit?usp=sharing"",""สระแก้ว!J112"")"),0)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IFERROR(__xludf.DUMMYFUNCTION("IMPORTRANGE(""https://docs.google.com/spreadsheets/d/1SX6NBoVAgQJ6U1MVXOaj8PK2l7WJ3RER9xtqwdhxkhw/edit?usp=sharing"",""สระแก้ว!J113"")"),0)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IFERROR(__xludf.DUMMYFUNCTION("IMPORTRANGE(""https://docs.google.com/spreadsheets/d/1SX6NBoVAgQJ6U1MVXOaj8PK2l7WJ3RER9xtqwdhxkhw/edit?usp=sharing"",""สระแก้ว!I114"")"),40000)</f>
        <v>40000</v>
      </c>
      <c r="J189" s="284">
        <f ca="1">IFERROR(__xludf.DUMMYFUNCTION("IMPORTRANGE(""https://docs.google.com/spreadsheets/d/1SX6NBoVAgQJ6U1MVXOaj8PK2l7WJ3RER9xtqwdhxkhw/edit?usp=sharing"",""สระแก้ว!J114"")"),0)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IFERROR(__xludf.DUMMYFUNCTION("IMPORTRANGE(""https://docs.google.com/spreadsheets/d/1SX6NBoVAgQJ6U1MVXOaj8PK2l7WJ3RER9xtqwdhxkhw/edit?usp=sharing"",""สระแก้ว!J119"")"),1)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IFERROR(__xludf.DUMMYFUNCTION("IMPORTRANGE(""https://docs.google.com/spreadsheets/d/1SX6NBoVAgQJ6U1MVXOaj8PK2l7WJ3RER9xtqwdhxkhw/edit?usp=sharing"",""สระแก้ว!J120"")"),0)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IFERROR(__xludf.DUMMYFUNCTION("IMPORTRANGE(""https://docs.google.com/spreadsheets/d/1SX6NBoVAgQJ6U1MVXOaj8PK2l7WJ3RER9xtqwdhxkhw/edit?usp=sharing"",""สระแก้ว!J121"")"),0)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IFERROR(__xludf.DUMMYFUNCTION("IMPORTRANGE(""https://docs.google.com/spreadsheets/d/1SX6NBoVAgQJ6U1MVXOaj8PK2l7WJ3RER9xtqwdhxkhw/edit?usp=sharing"",""สระแก้ว!J122"")"),0)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IFERROR(__xludf.DUMMYFUNCTION("IMPORTRANGE(""https://docs.google.com/spreadsheets/d/1SX6NBoVAgQJ6U1MVXOaj8PK2l7WJ3RER9xtqwdhxkhw/edit?usp=sharing"",""สระแก้ว!I124"")"),40000)</f>
        <v>40000</v>
      </c>
      <c r="J199" s="189">
        <f ca="1">IFERROR(__xludf.DUMMYFUNCTION("IMPORTRANGE(""https://docs.google.com/spreadsheets/d/1SX6NBoVAgQJ6U1MVXOaj8PK2l7WJ3RER9xtqwdhxkhw/edit?usp=sharing"",""สระแก้ว!J124"")"),0)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IFERROR(__xludf.DUMMYFUNCTION("IMPORTRANGE(""https://docs.google.com/spreadsheets/d/1SX6NBoVAgQJ6U1MVXOaj8PK2l7WJ3RER9xtqwdhxkhw/edit?usp=sharing"",""สระแก้ว!I125"")"),40000)</f>
        <v>40000</v>
      </c>
      <c r="J200" s="189">
        <f ca="1">IFERROR(__xludf.DUMMYFUNCTION("IMPORTRANGE(""https://docs.google.com/spreadsheets/d/1SX6NBoVAgQJ6U1MVXOaj8PK2l7WJ3RER9xtqwdhxkhw/edit?usp=sharing"",""สระแก้ว!J125"")"),0)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IFERROR(__xludf.DUMMYFUNCTION("IMPORTRANGE(""https://docs.google.com/spreadsheets/d/1SX6NBoVAgQJ6U1MVXOaj8PK2l7WJ3RER9xtqwdhxkhw/edit?usp=sharing"",""สระแก้ว!I126"")"),0)</f>
        <v>0</v>
      </c>
      <c r="J201" s="189">
        <f ca="1">IFERROR(__xludf.DUMMYFUNCTION("IMPORTRANGE(""https://docs.google.com/spreadsheets/d/1SX6NBoVAgQJ6U1MVXOaj8PK2l7WJ3RER9xtqwdhxkhw/edit?usp=sharing"",""สระแก้ว!J126"")"),0)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IFERROR(__xludf.DUMMYFUNCTION("IMPORTRANGE(""https://docs.google.com/spreadsheets/d/1SX6NBoVAgQJ6U1MVXOaj8PK2l7WJ3RER9xtqwdhxkhw/edit?usp=sharing"",""สระแก้ว!J127"")"),0)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IFERROR(__xludf.DUMMYFUNCTION("IMPORTRANGE(""https://docs.google.com/spreadsheets/d/1SX6NBoVAgQJ6U1MVXOaj8PK2l7WJ3RER9xtqwdhxkhw/edit?usp=sharing"",""สระแก้ว!J128"")"),0)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IFERROR(__xludf.DUMMYFUNCTION("IMPORTRANGE(""https://docs.google.com/spreadsheets/d/1SX6NBoVAgQJ6U1MVXOaj8PK2l7WJ3RER9xtqwdhxkhw/edit?usp=sharing"",""สระแก้ว!I129"")"),60)</f>
        <v>60</v>
      </c>
      <c r="J204" s="284">
        <f ca="1">IFERROR(__xludf.DUMMYFUNCTION("IMPORTRANGE(""https://docs.google.com/spreadsheets/d/1SX6NBoVAgQJ6U1MVXOaj8PK2l7WJ3RER9xtqwdhxkhw/edit?usp=sharing"",""สระแก้ว!J129"")"),60)</f>
        <v>60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IFERROR(__xludf.DUMMYFUNCTION("IMPORTRANGE(""https://docs.google.com/spreadsheets/d/1SX6NBoVAgQJ6U1MVXOaj8PK2l7WJ3RER9xtqwdhxkhw/edit?usp=sharing"",""สระแก้ว!J134"")"),0)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IFERROR(__xludf.DUMMYFUNCTION("IMPORTRANGE(""https://docs.google.com/spreadsheets/d/1SX6NBoVAgQJ6U1MVXOaj8PK2l7WJ3RER9xtqwdhxkhw/edit?usp=sharing"",""สระแก้ว!J135"")"),1)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IFERROR(__xludf.DUMMYFUNCTION("IMPORTRANGE(""https://docs.google.com/spreadsheets/d/1SX6NBoVAgQJ6U1MVXOaj8PK2l7WJ3RER9xtqwdhxkhw/edit?usp=sharing"",""สระแก้ว!J136"")"),1)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IFERROR(__xludf.DUMMYFUNCTION("IMPORTRANGE(""https://docs.google.com/spreadsheets/d/1SX6NBoVAgQJ6U1MVXOaj8PK2l7WJ3RER9xtqwdhxkhw/edit?usp=sharing"",""สระแก้ว!J137"")"),1)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IFERROR(__xludf.DUMMYFUNCTION("IMPORTRANGE(""https://docs.google.com/spreadsheets/d/1SX6NBoVAgQJ6U1MVXOaj8PK2l7WJ3RER9xtqwdhxkhw/edit?usp=sharing"",""สระแก้ว!I138"")"),60)</f>
        <v>60</v>
      </c>
      <c r="J213" s="204">
        <f ca="1">IFERROR(__xludf.DUMMYFUNCTION("IMPORTRANGE(""https://docs.google.com/spreadsheets/d/1SX6NBoVAgQJ6U1MVXOaj8PK2l7WJ3RER9xtqwdhxkhw/edit?usp=sharing"",""สระแก้ว!J138"")"),60)</f>
        <v>60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IFERROR(__xludf.DUMMYFUNCTION("IMPORTRANGE(""https://docs.google.com/spreadsheets/d/1SX6NBoVAgQJ6U1MVXOaj8PK2l7WJ3RER9xtqwdhxkhw/edit?usp=sharing"",""สระแก้ว!I140"")"),20)</f>
        <v>20</v>
      </c>
      <c r="J215" s="204">
        <f ca="1">IFERROR(__xludf.DUMMYFUNCTION("IMPORTRANGE(""https://docs.google.com/spreadsheets/d/1SX6NBoVAgQJ6U1MVXOaj8PK2l7WJ3RER9xtqwdhxkhw/edit?usp=sharing"",""สระแก้ว!J140"")"),0)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IFERROR(__xludf.DUMMYFUNCTION("IMPORTRANGE(""https://docs.google.com/spreadsheets/d/1SX6NBoVAgQJ6U1MVXOaj8PK2l7WJ3RER9xtqwdhxkhw/edit?usp=sharing"",""สระแก้ว!I141"")"),3)</f>
        <v>3</v>
      </c>
      <c r="J216" s="204">
        <f ca="1">IFERROR(__xludf.DUMMYFUNCTION("IMPORTRANGE(""https://docs.google.com/spreadsheets/d/1SX6NBoVAgQJ6U1MVXOaj8PK2l7WJ3RER9xtqwdhxkhw/edit?usp=sharing"",""สระแก้ว!J141"")"),0)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IFERROR(__xludf.DUMMYFUNCTION("IMPORTRANGE(""https://docs.google.com/spreadsheets/d/1SX6NBoVAgQJ6U1MVXOaj8PK2l7WJ3RER9xtqwdhxkhw/edit?usp=sharing"",""สระแก้ว!J142"")"),0)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IFERROR(__xludf.DUMMYFUNCTION("IMPORTRANGE(""https://docs.google.com/spreadsheets/d/1SX6NBoVAgQJ6U1MVXOaj8PK2l7WJ3RER9xtqwdhxkhw/edit?usp=sharing"",""สระแก้ว!J143"")"),0)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IFERROR(__xludf.DUMMYFUNCTION("IMPORTRANGE(""https://docs.google.com/spreadsheets/d/1SX6NBoVAgQJ6U1MVXOaj8PK2l7WJ3RER9xtqwdhxkhw/edit?usp=sharing"",""สระแก้ว!I144"")"),13)</f>
        <v>13</v>
      </c>
      <c r="J219" s="267">
        <f ca="1">IFERROR(__xludf.DUMMYFUNCTION("IMPORTRANGE(""https://docs.google.com/spreadsheets/d/1SX6NBoVAgQJ6U1MVXOaj8PK2l7WJ3RER9xtqwdhxkhw/edit?usp=sharing"",""สระแก้ว!J144"")"),13)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18915</v>
      </c>
      <c r="O220" s="151">
        <f t="shared" ref="O220:O222" ca="1" si="73">IF(L220&gt;0,N220*100/L220,0)</f>
        <v>98.030577869914481</v>
      </c>
      <c r="P220" s="151">
        <f t="shared" ref="P220:P222" ca="1" si="74">IF(M220&gt;0,N220*100/M220,0)</f>
        <v>98.030577869914481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18915</v>
      </c>
      <c r="O222" s="156">
        <f t="shared" ca="1" si="73"/>
        <v>98.030577869914481</v>
      </c>
      <c r="P222" s="156">
        <f t="shared" ca="1" si="74"/>
        <v>98.030577869914481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IFERROR(__xludf.DUMMYFUNCTION("IMPORTRANGE(""https://docs.google.com/spreadsheets/d/1Yj_ptqi66GCucihVvJfMjLAmec39IyEx_6qawtMGysU/edit?usp=sharing"",""สบก!BS75"")"),19295)</f>
        <v>19295</v>
      </c>
      <c r="N224" s="169">
        <f ca="1">IFERROR(__xludf.DUMMYFUNCTION("IMPORTRANGE(""https://docs.google.com/spreadsheets/d/1Yj_ptqi66GCucihVvJfMjLAmec39IyEx_6qawtMGysU/edit?usp=sharing"",""สบก!BT75"")"),18915)</f>
        <v>18915</v>
      </c>
      <c r="O224" s="169">
        <f ca="1">IF(L224&gt;0,N224*100/L224,0)</f>
        <v>98.030577869914481</v>
      </c>
      <c r="P224" s="169">
        <f ca="1">IF(M224&gt;0,N224*100/M224,0)</f>
        <v>98.030577869914481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IFERROR(__xludf.DUMMYFUNCTION("IMPORTRANGE(""https://docs.google.com/spreadsheets/d/1Yj_ptqi66GCucihVvJfMjLAmec39IyEx_6qawtMGysU/edit?usp=sharing"",""สบก!BO75"")"),0)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IFERROR(__xludf.DUMMYFUNCTION("IMPORTRANGE(""https://docs.google.com/spreadsheets/d/1Yj_ptqi66GCucihVvJfMjLAmec39IyEx_6qawtMGysU/edit?usp=sharing"",""สบก!BP75"")"),19295)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IFERROR(__xludf.DUMMYFUNCTION("IMPORTRANGE(""https://docs.google.com/spreadsheets/d/1Yj_ptqi66GCucihVvJfMjLAmec39IyEx_6qawtMGysU/edit?usp=sharing"",""สบก!BQ75"")"),0)</f>
        <v>0</v>
      </c>
      <c r="M228" s="49"/>
      <c r="N228" s="49">
        <f ca="1">IFERROR(__xludf.DUMMYFUNCTION("IMPORTRANGE(""https://docs.google.com/spreadsheets/d/1Yj_ptqi66GCucihVvJfMjLAmec39IyEx_6qawtMGysU/edit?usp=sharing"",""สบก!BU75"")"),0)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IFERROR(__xludf.DUMMYFUNCTION("IMPORTRANGE(""https://docs.google.com/spreadsheets/d/1SX6NBoVAgQJ6U1MVXOaj8PK2l7WJ3RER9xtqwdhxkhw/edit?usp=sharing"",""สระแก้ว!I149"")"),13)</f>
        <v>13</v>
      </c>
      <c r="J229" s="267">
        <f ca="1">IFERROR(__xludf.DUMMYFUNCTION("IMPORTRANGE(""https://docs.google.com/spreadsheets/d/1SX6NBoVAgQJ6U1MVXOaj8PK2l7WJ3RER9xtqwdhxkhw/edit?usp=sharing"",""สระแก้ว!J149"")"),13)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IFERROR(__xludf.DUMMYFUNCTION("IMPORTRANGE(""https://docs.google.com/spreadsheets/d/1SX6NBoVAgQJ6U1MVXOaj8PK2l7WJ3RER9xtqwdhxkhw/edit?usp=sharing"",""สระแก้ว!J151"")"),0)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IFERROR(__xludf.DUMMYFUNCTION("IMPORTRANGE(""https://docs.google.com/spreadsheets/d/1SX6NBoVAgQJ6U1MVXOaj8PK2l7WJ3RER9xtqwdhxkhw/edit?usp=sharing"",""สระแก้ว!J152"")"),1)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IFERROR(__xludf.DUMMYFUNCTION("IMPORTRANGE(""https://docs.google.com/spreadsheets/d/1SX6NBoVAgQJ6U1MVXOaj8PK2l7WJ3RER9xtqwdhxkhw/edit?usp=sharing"",""สระแก้ว!J153"")"),1)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IFERROR(__xludf.DUMMYFUNCTION("IMPORTRANGE(""https://docs.google.com/spreadsheets/d/1SX6NBoVAgQJ6U1MVXOaj8PK2l7WJ3RER9xtqwdhxkhw/edit?usp=sharing"",""สระแก้ว!J154"")"),0)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IFERROR(__xludf.DUMMYFUNCTION("IMPORTRANGE(""https://docs.google.com/spreadsheets/d/1SX6NBoVAgQJ6U1MVXOaj8PK2l7WJ3RER9xtqwdhxkhw/edit?usp=sharing"",""สระแก้ว!I155"")"),13)</f>
        <v>13</v>
      </c>
      <c r="J235" s="189">
        <f ca="1">IFERROR(__xludf.DUMMYFUNCTION("IMPORTRANGE(""https://docs.google.com/spreadsheets/d/1SX6NBoVAgQJ6U1MVXOaj8PK2l7WJ3RER9xtqwdhxkhw/edit?usp=sharing"",""สระแก้ว!J155"")"),13)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IFERROR(__xludf.DUMMYFUNCTION("IMPORTRANGE(""https://docs.google.com/spreadsheets/d/1SX6NBoVAgQJ6U1MVXOaj8PK2l7WJ3RER9xtqwdhxkhw/edit?usp=sharing"",""สระแก้ว!J156"")"),0)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IFERROR(__xludf.DUMMYFUNCTION("IMPORTRANGE(""https://docs.google.com/spreadsheets/d/1SX6NBoVAgQJ6U1MVXOaj8PK2l7WJ3RER9xtqwdhxkhw/edit?usp=sharing"",""สระแก้ว!J157"")"),0)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IFERROR(__xludf.DUMMYFUNCTION("IMPORTRANGE(""https://docs.google.com/spreadsheets/d/1SX6NBoVAgQJ6U1MVXOaj8PK2l7WJ3RER9xtqwdhxkhw/edit?usp=sharing"",""สระแก้ว!I158"")"),0)</f>
        <v>0</v>
      </c>
      <c r="J238" s="267">
        <f ca="1">IFERROR(__xludf.DUMMYFUNCTION("IMPORTRANGE(""https://docs.google.com/spreadsheets/d/1SX6NBoVAgQJ6U1MVXOaj8PK2l7WJ3RER9xtqwdhxkhw/edit?usp=sharing"",""สระแก้ว!J158"")"),0)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IFERROR(__xludf.DUMMYFUNCTION("IMPORTRANGE(""https://docs.google.com/spreadsheets/d/1SX6NBoVAgQJ6U1MVXOaj8PK2l7WJ3RER9xtqwdhxkhw/edit?usp=sharing"",""สระแก้ว!J159"")"),"")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IFERROR(__xludf.DUMMYFUNCTION("IMPORTRANGE(""https://docs.google.com/spreadsheets/d/1SX6NBoVAgQJ6U1MVXOaj8PK2l7WJ3RER9xtqwdhxkhw/edit?usp=sharing"",""สระแก้ว!J161"")"),0)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IFERROR(__xludf.DUMMYFUNCTION("IMPORTRANGE(""https://docs.google.com/spreadsheets/d/1SX6NBoVAgQJ6U1MVXOaj8PK2l7WJ3RER9xtqwdhxkhw/edit?usp=sharing"",""สระแก้ว!J162"")"),0)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IFERROR(__xludf.DUMMYFUNCTION("IMPORTRANGE(""https://docs.google.com/spreadsheets/d/1SX6NBoVAgQJ6U1MVXOaj8PK2l7WJ3RER9xtqwdhxkhw/edit?usp=sharing"",""สระแก้ว!J163"")"),0)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IFERROR(__xludf.DUMMYFUNCTION("IMPORTRANGE(""https://docs.google.com/spreadsheets/d/1SX6NBoVAgQJ6U1MVXOaj8PK2l7WJ3RER9xtqwdhxkhw/edit?usp=sharing"",""สระแก้ว!I164"")"),0)</f>
        <v>0</v>
      </c>
      <c r="J244" s="188">
        <f ca="1">IFERROR(__xludf.DUMMYFUNCTION("IMPORTRANGE(""https://docs.google.com/spreadsheets/d/1SX6NBoVAgQJ6U1MVXOaj8PK2l7WJ3RER9xtqwdhxkhw/edit?usp=sharing"",""สระแก้ว!J164"")"),0)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IFERROR(__xludf.DUMMYFUNCTION("IMPORTRANGE(""https://docs.google.com/spreadsheets/d/1SX6NBoVAgQJ6U1MVXOaj8PK2l7WJ3RER9xtqwdhxkhw/edit?usp=sharing"",""สระแก้ว!J165"")"),0)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IFERROR(__xludf.DUMMYFUNCTION("IMPORTRANGE(""https://docs.google.com/spreadsheets/d/1SX6NBoVAgQJ6U1MVXOaj8PK2l7WJ3RER9xtqwdhxkhw/edit?usp=sharing"",""สระแก้ว!J166"")"),0)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IFERROR(__xludf.DUMMYFUNCTION("IMPORTRANGE(""https://docs.google.com/spreadsheets/d/1SX6NBoVAgQJ6U1MVXOaj8PK2l7WJ3RER9xtqwdhxkhw/edit?usp=sharing"",""สระแก้ว!I169"")"),0)</f>
        <v>0</v>
      </c>
      <c r="J249" s="316">
        <f ca="1">IFERROR(__xludf.DUMMYFUNCTION("IMPORTRANGE(""https://docs.google.com/spreadsheets/d/1SX6NBoVAgQJ6U1MVXOaj8PK2l7WJ3RER9xtqwdhxkhw/edit?usp=sharing"",""สระแก้ว!J169"")"),0)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IFERROR(__xludf.DUMMYFUNCTION("IMPORTRANGE(""https://docs.google.com/spreadsheets/d/1Yj_ptqi66GCucihVvJfMjLAmec39IyEx_6qawtMGysU/edit?usp=sharing"",""สบก!CB75"")"),0)</f>
        <v>0</v>
      </c>
      <c r="N254" s="169">
        <f ca="1">IFERROR(__xludf.DUMMYFUNCTION("IMPORTRANGE(""https://docs.google.com/spreadsheets/d/1Yj_ptqi66GCucihVvJfMjLAmec39IyEx_6qawtMGysU/edit?usp=sharing"",""สบก!CC75"")"),0)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IFERROR(__xludf.DUMMYFUNCTION("IMPORTRANGE(""https://docs.google.com/spreadsheets/d/1Yj_ptqi66GCucihVvJfMjLAmec39IyEx_6qawtMGysU/edit?usp=sharing"",""สบก!BX75"")"),0)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IFERROR(__xludf.DUMMYFUNCTION("IMPORTRANGE(""https://docs.google.com/spreadsheets/d/1Yj_ptqi66GCucihVvJfMjLAmec39IyEx_6qawtMGysU/edit?usp=sharing"",""สบก!BY75"")"),0)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IFERROR(__xludf.DUMMYFUNCTION("IMPORTRANGE(""https://docs.google.com/spreadsheets/d/1Yj_ptqi66GCucihVvJfMjLAmec39IyEx_6qawtMGysU/edit?usp=sharing"",""สบก!BZ75"")"),0)</f>
        <v>0</v>
      </c>
      <c r="M258" s="49"/>
      <c r="N258" s="49">
        <f ca="1">IFERROR(__xludf.DUMMYFUNCTION("IMPORTRANGE(""https://docs.google.com/spreadsheets/d/1Yj_ptqi66GCucihVvJfMjLAmec39IyEx_6qawtMGysU/edit?usp=sharing"",""สบก!CD75"")"),0)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IFERROR(__xludf.DUMMYFUNCTION("IMPORTRANGE(""https://docs.google.com/spreadsheets/d/1SX6NBoVAgQJ6U1MVXOaj8PK2l7WJ3RER9xtqwdhxkhw/edit?usp=sharing"",""สระแก้ว!J175"")"),0)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IFERROR(__xludf.DUMMYFUNCTION("IMPORTRANGE(""https://docs.google.com/spreadsheets/d/1SX6NBoVAgQJ6U1MVXOaj8PK2l7WJ3RER9xtqwdhxkhw/edit?usp=sharing"",""สระแก้ว!J176"")"),0)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IFERROR(__xludf.DUMMYFUNCTION("IMPORTRANGE(""https://docs.google.com/spreadsheets/d/1SX6NBoVAgQJ6U1MVXOaj8PK2l7WJ3RER9xtqwdhxkhw/edit?usp=sharing"",""สระแก้ว!J177"")"),0)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IFERROR(__xludf.DUMMYFUNCTION("IMPORTRANGE(""https://docs.google.com/spreadsheets/d/1SX6NBoVAgQJ6U1MVXOaj8PK2l7WJ3RER9xtqwdhxkhw/edit?usp=sharing"",""สระแก้ว!J178"")"),0)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IFERROR(__xludf.DUMMYFUNCTION("IMPORTRANGE(""https://docs.google.com/spreadsheets/d/1SX6NBoVAgQJ6U1MVXOaj8PK2l7WJ3RER9xtqwdhxkhw/edit?usp=sharing"",""สระแก้ว!I179"")"),0)</f>
        <v>0</v>
      </c>
      <c r="J264" s="189">
        <f ca="1">IFERROR(__xludf.DUMMYFUNCTION("IMPORTRANGE(""https://docs.google.com/spreadsheets/d/1SX6NBoVAgQJ6U1MVXOaj8PK2l7WJ3RER9xtqwdhxkhw/edit?usp=sharing"",""สระแก้ว!J179"")"),0)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IFERROR(__xludf.DUMMYFUNCTION("IMPORTRANGE(""https://docs.google.com/spreadsheets/d/1SX6NBoVAgQJ6U1MVXOaj8PK2l7WJ3RER9xtqwdhxkhw/edit?usp=sharing"",""สระแก้ว!I180"")"),0)</f>
        <v>0</v>
      </c>
      <c r="J265" s="189">
        <f ca="1">IFERROR(__xludf.DUMMYFUNCTION("IMPORTRANGE(""https://docs.google.com/spreadsheets/d/1SX6NBoVAgQJ6U1MVXOaj8PK2l7WJ3RER9xtqwdhxkhw/edit?usp=sharing"",""สระแก้ว!J180"")"),0)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IFERROR(__xludf.DUMMYFUNCTION("IMPORTRANGE(""https://docs.google.com/spreadsheets/d/1SX6NBoVAgQJ6U1MVXOaj8PK2l7WJ3RER9xtqwdhxkhw/edit?usp=sharing"",""สระแก้ว!I181"")"),0)</f>
        <v>0</v>
      </c>
      <c r="J266" s="189">
        <f ca="1">IFERROR(__xludf.DUMMYFUNCTION("IMPORTRANGE(""https://docs.google.com/spreadsheets/d/1SX6NBoVAgQJ6U1MVXOaj8PK2l7WJ3RER9xtqwdhxkhw/edit?usp=sharing"",""สระแก้ว!J181"")"),0)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IFERROR(__xludf.DUMMYFUNCTION("IMPORTRANGE(""https://docs.google.com/spreadsheets/d/1SX6NBoVAgQJ6U1MVXOaj8PK2l7WJ3RER9xtqwdhxkhw/edit?usp=sharing"",""สระแก้ว!I182"")"),0)</f>
        <v>0</v>
      </c>
      <c r="J267" s="189">
        <f ca="1">IFERROR(__xludf.DUMMYFUNCTION("IMPORTRANGE(""https://docs.google.com/spreadsheets/d/1SX6NBoVAgQJ6U1MVXOaj8PK2l7WJ3RER9xtqwdhxkhw/edit?usp=sharing"",""สระแก้ว!J182"")"),0)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IFERROR(__xludf.DUMMYFUNCTION("IMPORTRANGE(""https://docs.google.com/spreadsheets/d/1SX6NBoVAgQJ6U1MVXOaj8PK2l7WJ3RER9xtqwdhxkhw/edit?usp=sharing"",""สระแก้ว!J183"")"),0)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IFERROR(__xludf.DUMMYFUNCTION("IMPORTRANGE(""https://docs.google.com/spreadsheets/d/1SX6NBoVAgQJ6U1MVXOaj8PK2l7WJ3RER9xtqwdhxkhw/edit?usp=sharing"",""สระแก้ว!J184"")"),0)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IFERROR(__xludf.DUMMYFUNCTION("IMPORTRANGE(""https://docs.google.com/spreadsheets/d/1SX6NBoVAgQJ6U1MVXOaj8PK2l7WJ3RER9xtqwdhxkhw/edit?usp=sharing"",""สระแก้ว!I185"")"),15)</f>
        <v>15</v>
      </c>
      <c r="J270" s="316">
        <f ca="1">IFERROR(__xludf.DUMMYFUNCTION("IMPORTRANGE(""https://docs.google.com/spreadsheets/d/1SX6NBoVAgQJ6U1MVXOaj8PK2l7WJ3RER9xtqwdhxkhw/edit?usp=sharing"",""สระแก้ว!J185"")"),15)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17180</v>
      </c>
      <c r="O271" s="151">
        <f t="shared" ref="O271:O273" ca="1" si="84">IF(L271&gt;0,N271*100/L271,0)</f>
        <v>31.123188405797102</v>
      </c>
      <c r="P271" s="151">
        <f t="shared" ref="P271:P273" ca="1" si="85">IF(M271&gt;0,N271*100/M271,0)</f>
        <v>53.271317829457367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17180</v>
      </c>
      <c r="O273" s="156">
        <f t="shared" ca="1" si="84"/>
        <v>31.123188405797102</v>
      </c>
      <c r="P273" s="156">
        <f t="shared" ca="1" si="85"/>
        <v>53.271317829457367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IFERROR(__xludf.DUMMYFUNCTION("IMPORTRANGE(""https://docs.google.com/spreadsheets/d/1Yj_ptqi66GCucihVvJfMjLAmec39IyEx_6qawtMGysU/edit?usp=sharing"",""สบก!CK75"")"),32250)</f>
        <v>32250</v>
      </c>
      <c r="N275" s="169">
        <f ca="1">IFERROR(__xludf.DUMMYFUNCTION("IMPORTRANGE(""https://docs.google.com/spreadsheets/d/1Yj_ptqi66GCucihVvJfMjLAmec39IyEx_6qawtMGysU/edit?usp=sharing"",""สบก!CL75"")"),17180)</f>
        <v>17180</v>
      </c>
      <c r="O275" s="169">
        <f ca="1">IF(L275&gt;0,N275*100/L275,0)</f>
        <v>31.123188405797102</v>
      </c>
      <c r="P275" s="169">
        <f ca="1">IF(M275&gt;0,N275*100/M275,0)</f>
        <v>53.271317829457367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IFERROR(__xludf.DUMMYFUNCTION("IMPORTRANGE(""https://docs.google.com/spreadsheets/d/1Yj_ptqi66GCucihVvJfMjLAmec39IyEx_6qawtMGysU/edit?usp=sharing"",""สบก!CG75"")"),0)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IFERROR(__xludf.DUMMYFUNCTION("IMPORTRANGE(""https://docs.google.com/spreadsheets/d/1Yj_ptqi66GCucihVvJfMjLAmec39IyEx_6qawtMGysU/edit?usp=sharing"",""สบก!CH75"")"),55200)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IFERROR(__xludf.DUMMYFUNCTION("IMPORTRANGE(""https://docs.google.com/spreadsheets/d/1Yj_ptqi66GCucihVvJfMjLAmec39IyEx_6qawtMGysU/edit?usp=sharing"",""สบก!CI75"")"),0)</f>
        <v>0</v>
      </c>
      <c r="M279" s="49"/>
      <c r="N279" s="49">
        <f ca="1">IFERROR(__xludf.DUMMYFUNCTION("IMPORTRANGE(""https://docs.google.com/spreadsheets/d/1Yj_ptqi66GCucihVvJfMjLAmec39IyEx_6qawtMGysU/edit?usp=sharing"",""สบก!CM75"")"),0)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IFERROR(__xludf.DUMMYFUNCTION("IMPORTRANGE(""https://docs.google.com/spreadsheets/d/1SX6NBoVAgQJ6U1MVXOaj8PK2l7WJ3RER9xtqwdhxkhw/edit?usp=sharing"",""สระแก้ว!J191"")"),0)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IFERROR(__xludf.DUMMYFUNCTION("IMPORTRANGE(""https://docs.google.com/spreadsheets/d/1SX6NBoVAgQJ6U1MVXOaj8PK2l7WJ3RER9xtqwdhxkhw/edit?usp=sharing"",""สระแก้ว!J192"")"),1)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IFERROR(__xludf.DUMMYFUNCTION("IMPORTRANGE(""https://docs.google.com/spreadsheets/d/1SX6NBoVAgQJ6U1MVXOaj8PK2l7WJ3RER9xtqwdhxkhw/edit?usp=sharing"",""สระแก้ว!J193"")"),1)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IFERROR(__xludf.DUMMYFUNCTION("IMPORTRANGE(""https://docs.google.com/spreadsheets/d/1SX6NBoVAgQJ6U1MVXOaj8PK2l7WJ3RER9xtqwdhxkhw/edit?usp=sharing"",""สระแก้ว!J194"")"),1)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IFERROR(__xludf.DUMMYFUNCTION("IMPORTRANGE(""https://docs.google.com/spreadsheets/d/1SX6NBoVAgQJ6U1MVXOaj8PK2l7WJ3RER9xtqwdhxkhw/edit?usp=sharing"",""สระแก้ว!I195"")"),15)</f>
        <v>15</v>
      </c>
      <c r="J285" s="189">
        <f ca="1">IFERROR(__xludf.DUMMYFUNCTION("IMPORTRANGE(""https://docs.google.com/spreadsheets/d/1SX6NBoVAgQJ6U1MVXOaj8PK2l7WJ3RER9xtqwdhxkhw/edit?usp=sharing"",""สระแก้ว!J195"")"),15)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IFERROR(__xludf.DUMMYFUNCTION("IMPORTRANGE(""https://docs.google.com/spreadsheets/d/1SX6NBoVAgQJ6U1MVXOaj8PK2l7WJ3RER9xtqwdhxkhw/edit?usp=sharing"",""สระแก้ว!J196"")"),0)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IFERROR(__xludf.DUMMYFUNCTION("IMPORTRANGE(""https://docs.google.com/spreadsheets/d/1SX6NBoVAgQJ6U1MVXOaj8PK2l7WJ3RER9xtqwdhxkhw/edit?usp=sharing"",""สระแก้ว!J197"")"),0)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IFERROR(__xludf.DUMMYFUNCTION("IMPORTRANGE(""https://docs.google.com/spreadsheets/d/1SX6NBoVAgQJ6U1MVXOaj8PK2l7WJ3RER9xtqwdhxkhw/edit?usp=sharing"",""สระแก้ว!I199"")"),40)</f>
        <v>40</v>
      </c>
      <c r="J289" s="316">
        <f ca="1">IFERROR(__xludf.DUMMYFUNCTION("IMPORTRANGE(""https://docs.google.com/spreadsheets/d/1SX6NBoVAgQJ6U1MVXOaj8PK2l7WJ3RER9xtqwdhxkhw/edit?usp=sharing"",""สระแก้ว!J199"")"),40)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123640</v>
      </c>
      <c r="M290" s="152">
        <f t="shared" ca="1" si="88"/>
        <v>123640</v>
      </c>
      <c r="N290" s="152">
        <f t="shared" ca="1" si="88"/>
        <v>58020</v>
      </c>
      <c r="O290" s="151">
        <f t="shared" ref="O290:O292" ca="1" si="89">IF(L290&gt;0,N290*100/L290,0)</f>
        <v>46.926560983500487</v>
      </c>
      <c r="P290" s="151">
        <f t="shared" ref="P290:P292" ca="1" si="90">IF(M290&gt;0,N290*100/M290,0)</f>
        <v>46.926560983500487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123640</v>
      </c>
      <c r="M292" s="157">
        <f t="shared" ca="1" si="92"/>
        <v>123640</v>
      </c>
      <c r="N292" s="157">
        <f t="shared" ca="1" si="92"/>
        <v>58020</v>
      </c>
      <c r="O292" s="156">
        <f t="shared" ca="1" si="89"/>
        <v>46.926560983500487</v>
      </c>
      <c r="P292" s="156">
        <f t="shared" ca="1" si="90"/>
        <v>46.926560983500487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123640</v>
      </c>
      <c r="M294" s="168">
        <f ca="1">IFERROR(__xludf.DUMMYFUNCTION("IMPORTRANGE(""https://docs.google.com/spreadsheets/d/1Yj_ptqi66GCucihVvJfMjLAmec39IyEx_6qawtMGysU/edit?usp=sharing"",""สบก!CT75"")"),123640)</f>
        <v>123640</v>
      </c>
      <c r="N294" s="169">
        <f ca="1">IFERROR(__xludf.DUMMYFUNCTION("IMPORTRANGE(""https://docs.google.com/spreadsheets/d/1Yj_ptqi66GCucihVvJfMjLAmec39IyEx_6qawtMGysU/edit?usp=sharing"",""สบก!CU75"")"),58020)</f>
        <v>58020</v>
      </c>
      <c r="O294" s="169">
        <f ca="1">IF(L294&gt;0,N294*100/L294,0)</f>
        <v>46.926560983500487</v>
      </c>
      <c r="P294" s="169">
        <f ca="1">IF(M294&gt;0,N294*100/M294,0)</f>
        <v>46.926560983500487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IFERROR(__xludf.DUMMYFUNCTION("IMPORTRANGE(""https://docs.google.com/spreadsheets/d/1Yj_ptqi66GCucihVvJfMjLAmec39IyEx_6qawtMGysU/edit?usp=sharing"",""สบก!CP75"")"),0)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IFERROR(__xludf.DUMMYFUNCTION("IMPORTRANGE(""https://docs.google.com/spreadsheets/d/1Yj_ptqi66GCucihVvJfMjLAmec39IyEx_6qawtMGysU/edit?usp=sharing"",""สบก!CQ75"")"),123640)</f>
        <v>123640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IFERROR(__xludf.DUMMYFUNCTION("IMPORTRANGE(""https://docs.google.com/spreadsheets/d/1Yj_ptqi66GCucihVvJfMjLAmec39IyEx_6qawtMGysU/edit?usp=sharing"",""สบก!CR75"")"),0)</f>
        <v>0</v>
      </c>
      <c r="M298" s="49"/>
      <c r="N298" s="49">
        <f ca="1">IFERROR(__xludf.DUMMYFUNCTION("IMPORTRANGE(""https://docs.google.com/spreadsheets/d/1Yj_ptqi66GCucihVvJfMjLAmec39IyEx_6qawtMGysU/edit?usp=sharing"",""สบก!CV75"")"),0)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IFERROR(__xludf.DUMMYFUNCTION("IMPORTRANGE(""https://docs.google.com/spreadsheets/d/1SX6NBoVAgQJ6U1MVXOaj8PK2l7WJ3RER9xtqwdhxkhw/edit?usp=sharing"",""สระแก้ว!J205"")"),0)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IFERROR(__xludf.DUMMYFUNCTION("IMPORTRANGE(""https://docs.google.com/spreadsheets/d/1SX6NBoVAgQJ6U1MVXOaj8PK2l7WJ3RER9xtqwdhxkhw/edit?usp=sharing"",""สระแก้ว!J206"")"),1)</f>
        <v>1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IFERROR(__xludf.DUMMYFUNCTION("IMPORTRANGE(""https://docs.google.com/spreadsheets/d/1SX6NBoVAgQJ6U1MVXOaj8PK2l7WJ3RER9xtqwdhxkhw/edit?usp=sharing"",""สระแก้ว!J207"")"),1)</f>
        <v>1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IFERROR(__xludf.DUMMYFUNCTION("IMPORTRANGE(""https://docs.google.com/spreadsheets/d/1SX6NBoVAgQJ6U1MVXOaj8PK2l7WJ3RER9xtqwdhxkhw/edit?usp=sharing"",""สระแก้ว!J208"")"),1)</f>
        <v>1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IFERROR(__xludf.DUMMYFUNCTION("IMPORTRANGE(""https://docs.google.com/spreadsheets/d/1SX6NBoVAgQJ6U1MVXOaj8PK2l7WJ3RER9xtqwdhxkhw/edit?usp=sharing"",""สระแก้ว!I209"")"),40)</f>
        <v>40</v>
      </c>
      <c r="J304" s="204">
        <f ca="1">IFERROR(__xludf.DUMMYFUNCTION("IMPORTRANGE(""https://docs.google.com/spreadsheets/d/1SX6NBoVAgQJ6U1MVXOaj8PK2l7WJ3RER9xtqwdhxkhw/edit?usp=sharing"",""สระแก้ว!J209"")"),40)</f>
        <v>40</v>
      </c>
      <c r="K304" s="224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IFERROR(__xludf.DUMMYFUNCTION("IMPORTRANGE(""https://docs.google.com/spreadsheets/d/1SX6NBoVAgQJ6U1MVXOaj8PK2l7WJ3RER9xtqwdhxkhw/edit?usp=sharing"",""สระแก้ว!I211"")"),40)</f>
        <v>40</v>
      </c>
      <c r="J306" s="204">
        <f ca="1">IFERROR(__xludf.DUMMYFUNCTION("IMPORTRANGE(""https://docs.google.com/spreadsheets/d/1SX6NBoVAgQJ6U1MVXOaj8PK2l7WJ3RER9xtqwdhxkhw/edit?usp=sharing"",""สระแก้ว!J211"")"),0)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IFERROR(__xludf.DUMMYFUNCTION("IMPORTRANGE(""https://docs.google.com/spreadsheets/d/1SX6NBoVAgQJ6U1MVXOaj8PK2l7WJ3RER9xtqwdhxkhw/edit?usp=sharing"",""สระแก้ว!J212"")"),0)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IFERROR(__xludf.DUMMYFUNCTION("IMPORTRANGE(""https://docs.google.com/spreadsheets/d/1SX6NBoVAgQJ6U1MVXOaj8PK2l7WJ3RER9xtqwdhxkhw/edit?usp=sharing"",""สระแก้ว!J213"")"),0)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IFERROR(__xludf.DUMMYFUNCTION("IMPORTRANGE(""https://docs.google.com/spreadsheets/d/1SX6NBoVAgQJ6U1MVXOaj8PK2l7WJ3RER9xtqwdhxkhw/edit?usp=sharing"",""สระแก้ว!I214"")"),10)</f>
        <v>10</v>
      </c>
      <c r="J309" s="333">
        <f ca="1">IFERROR(__xludf.DUMMYFUNCTION("IMPORTRANGE(""https://docs.google.com/spreadsheets/d/1SX6NBoVAgQJ6U1MVXOaj8PK2l7WJ3RER9xtqwdhxkhw/edit?usp=sharing"",""สระแก้ว!J214"")"),5)</f>
        <v>5</v>
      </c>
      <c r="K309" s="334">
        <f ca="1">IF(I309&gt;0,J309*100/I309,0)</f>
        <v>50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395600</v>
      </c>
      <c r="M310" s="152">
        <f t="shared" ca="1" si="93"/>
        <v>296700</v>
      </c>
      <c r="N310" s="152">
        <f t="shared" ca="1" si="93"/>
        <v>62020</v>
      </c>
      <c r="O310" s="151">
        <f t="shared" ref="O310:O312" ca="1" si="94">IF(L310&gt;0,N310*100/L310,0)</f>
        <v>15.677451971688575</v>
      </c>
      <c r="P310" s="151">
        <f t="shared" ref="P310:P312" ca="1" si="95">IF(M310&gt;0,N310*100/M310,0)</f>
        <v>20.903269295584767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395600</v>
      </c>
      <c r="M312" s="157">
        <f t="shared" ca="1" si="97"/>
        <v>296700</v>
      </c>
      <c r="N312" s="157">
        <f t="shared" ca="1" si="97"/>
        <v>62020</v>
      </c>
      <c r="O312" s="156">
        <f t="shared" ca="1" si="94"/>
        <v>15.677451971688575</v>
      </c>
      <c r="P312" s="156">
        <f t="shared" ca="1" si="95"/>
        <v>20.903269295584767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395600</v>
      </c>
      <c r="M314" s="168">
        <f ca="1">IFERROR(__xludf.DUMMYFUNCTION("IMPORTRANGE(""https://docs.google.com/spreadsheets/d/1Yj_ptqi66GCucihVvJfMjLAmec39IyEx_6qawtMGysU/edit?usp=sharing"",""สบก!DC75"")"),296700)</f>
        <v>296700</v>
      </c>
      <c r="N314" s="169">
        <f ca="1">IFERROR(__xludf.DUMMYFUNCTION("IMPORTRANGE(""https://docs.google.com/spreadsheets/d/1Yj_ptqi66GCucihVvJfMjLAmec39IyEx_6qawtMGysU/edit?usp=sharing"",""สบก!DD75"")"),62020)</f>
        <v>62020</v>
      </c>
      <c r="O314" s="169">
        <f ca="1">IF(L314&gt;0,N314*100/L314,0)</f>
        <v>15.677451971688575</v>
      </c>
      <c r="P314" s="169">
        <f ca="1">IF(M314&gt;0,N314*100/M314,0)</f>
        <v>20.903269295584767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IFERROR(__xludf.DUMMYFUNCTION("IMPORTRANGE(""https://docs.google.com/spreadsheets/d/1Yj_ptqi66GCucihVvJfMjLAmec39IyEx_6qawtMGysU/edit?usp=sharing"",""สบก!CY75"")"),0)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IFERROR(__xludf.DUMMYFUNCTION("IMPORTRANGE(""https://docs.google.com/spreadsheets/d/1Yj_ptqi66GCucihVvJfMjLAmec39IyEx_6qawtMGysU/edit?usp=sharing"",""สบก!CZ75"")"),395600)</f>
        <v>395600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IFERROR(__xludf.DUMMYFUNCTION("IMPORTRANGE(""https://docs.google.com/spreadsheets/d/1Yj_ptqi66GCucihVvJfMjLAmec39IyEx_6qawtMGysU/edit?usp=sharing"",""สบก!DA75"")"),0)</f>
        <v>0</v>
      </c>
      <c r="M318" s="49"/>
      <c r="N318" s="49">
        <f ca="1">IFERROR(__xludf.DUMMYFUNCTION("IMPORTRANGE(""https://docs.google.com/spreadsheets/d/1Yj_ptqi66GCucihVvJfMjLAmec39IyEx_6qawtMGysU/edit?usp=sharing"",""สบก!DE75"")"),0)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IFERROR(__xludf.DUMMYFUNCTION("IMPORTRANGE(""https://docs.google.com/spreadsheets/d/1SX6NBoVAgQJ6U1MVXOaj8PK2l7WJ3RER9xtqwdhxkhw/edit?usp=sharing"",""สระแก้ว!J220"")"),0)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IFERROR(__xludf.DUMMYFUNCTION("IMPORTRANGE(""https://docs.google.com/spreadsheets/d/1SX6NBoVAgQJ6U1MVXOaj8PK2l7WJ3RER9xtqwdhxkhw/edit?usp=sharing"",""สระแก้ว!J221"")"),1)</f>
        <v>1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IFERROR(__xludf.DUMMYFUNCTION("IMPORTRANGE(""https://docs.google.com/spreadsheets/d/1SX6NBoVAgQJ6U1MVXOaj8PK2l7WJ3RER9xtqwdhxkhw/edit?usp=sharing"",""สระแก้ว!J222"")"),0)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IFERROR(__xludf.DUMMYFUNCTION("IMPORTRANGE(""https://docs.google.com/spreadsheets/d/1SX6NBoVAgQJ6U1MVXOaj8PK2l7WJ3RER9xtqwdhxkhw/edit?usp=sharing"",""สระแก้ว!J223"")"),0)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IFERROR(__xludf.DUMMYFUNCTION("IMPORTRANGE(""https://docs.google.com/spreadsheets/d/1SX6NBoVAgQJ6U1MVXOaj8PK2l7WJ3RER9xtqwdhxkhw/edit?usp=sharing"",""สระแก้ว!I224"")"),10)</f>
        <v>10</v>
      </c>
      <c r="J324" s="204">
        <f ca="1">IFERROR(__xludf.DUMMYFUNCTION("IMPORTRANGE(""https://docs.google.com/spreadsheets/d/1SX6NBoVAgQJ6U1MVXOaj8PK2l7WJ3RER9xtqwdhxkhw/edit?usp=sharing"",""สระแก้ว!J224"")"),5)</f>
        <v>5</v>
      </c>
      <c r="K324" s="224">
        <f ca="1">IF(I324&gt;0,J324*100/I324,0)</f>
        <v>50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IFERROR(__xludf.DUMMYFUNCTION("IMPORTRANGE(""https://docs.google.com/spreadsheets/d/1SX6NBoVAgQJ6U1MVXOaj8PK2l7WJ3RER9xtqwdhxkhw/edit?usp=sharing"",""สระแก้ว!J225"")"),0)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IFERROR(__xludf.DUMMYFUNCTION("IMPORTRANGE(""https://docs.google.com/spreadsheets/d/1SX6NBoVAgQJ6U1MVXOaj8PK2l7WJ3RER9xtqwdhxkhw/edit?usp=sharing"",""สระแก้ว!J226"")"),0)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IFERROR(__xludf.DUMMYFUNCTION("IMPORTRANGE(""https://docs.google.com/spreadsheets/d/1SX6NBoVAgQJ6U1MVXOaj8PK2l7WJ3RER9xtqwdhxkhw/edit?usp=sharing"",""สระแก้ว!I228"")"),780)</f>
        <v>780</v>
      </c>
      <c r="J328" s="339">
        <f ca="1">IFERROR(__xludf.DUMMYFUNCTION("IMPORTRANGE(""https://docs.google.com/spreadsheets/d/1SX6NBoVAgQJ6U1MVXOaj8PK2l7WJ3RER9xtqwdhxkhw/edit?usp=sharing"",""สระแก้ว!J228"")"),494)</f>
        <v>494</v>
      </c>
      <c r="K328" s="317">
        <f ca="1">IF(I328&gt;0,J328*100/I328,0)</f>
        <v>63.333333333333336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1497040</v>
      </c>
      <c r="M329" s="152">
        <f t="shared" ca="1" si="98"/>
        <v>1071200</v>
      </c>
      <c r="N329" s="152">
        <f t="shared" ca="1" si="98"/>
        <v>842474.12</v>
      </c>
      <c r="O329" s="151">
        <f t="shared" ref="O329:O331" ca="1" si="99">IF(L329&gt;0,N329*100/L329,0)</f>
        <v>56.27599262544755</v>
      </c>
      <c r="P329" s="151">
        <f t="shared" ref="P329:P331" ca="1" si="100">IF(M329&gt;0,N329*100/M329,0)</f>
        <v>78.647696041822257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1497040</v>
      </c>
      <c r="M331" s="157">
        <f t="shared" ca="1" si="102"/>
        <v>1071200</v>
      </c>
      <c r="N331" s="157">
        <f t="shared" ca="1" si="102"/>
        <v>842474.12</v>
      </c>
      <c r="O331" s="156">
        <f t="shared" ca="1" si="99"/>
        <v>56.27599262544755</v>
      </c>
      <c r="P331" s="156">
        <f t="shared" ca="1" si="100"/>
        <v>78.647696041822257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1350040</v>
      </c>
      <c r="M333" s="168">
        <f ca="1">IFERROR(__xludf.DUMMYFUNCTION("IMPORTRANGE(""https://docs.google.com/spreadsheets/d/1Yj_ptqi66GCucihVvJfMjLAmec39IyEx_6qawtMGysU/edit?usp=sharing"",""สบก!DL75"")"),924200)</f>
        <v>924200</v>
      </c>
      <c r="N333" s="169">
        <f ca="1">IFERROR(__xludf.DUMMYFUNCTION("IMPORTRANGE(""https://docs.google.com/spreadsheets/d/1Yj_ptqi66GCucihVvJfMjLAmec39IyEx_6qawtMGysU/edit?usp=sharing"",""สบก!DM75"")"),695474.12)</f>
        <v>695474.12</v>
      </c>
      <c r="O333" s="169">
        <f ca="1">IF(L333&gt;0,N333*100/L333,0)</f>
        <v>51.515075108885661</v>
      </c>
      <c r="P333" s="169">
        <f ca="1">IF(M333&gt;0,N333*100/M333,0)</f>
        <v>75.251473706989827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IFERROR(__xludf.DUMMYFUNCTION("IMPORTRANGE(""https://docs.google.com/spreadsheets/d/1Yj_ptqi66GCucihVvJfMjLAmec39IyEx_6qawtMGysU/edit?usp=sharing"",""สบก!DH75"")"),306000)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IFERROR(__xludf.DUMMYFUNCTION("IMPORTRANGE(""https://docs.google.com/spreadsheets/d/1Yj_ptqi66GCucihVvJfMjLAmec39IyEx_6qawtMGysU/edit?usp=sharing"",""สบก!DI75"")"),1044040)</f>
        <v>1044040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IFERROR(__xludf.DUMMYFUNCTION("IMPORTRANGE(""https://docs.google.com/spreadsheets/d/1Yj_ptqi66GCucihVvJfMjLAmec39IyEx_6qawtMGysU/edit?usp=sharing"",""สบก!DJ75"")"),147000)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IFERROR(__xludf.DUMMYFUNCTION("IMPORTRANGE(""https://docs.google.com/spreadsheets/d/1Yj_ptqi66GCucihVvJfMjLAmec39IyEx_6qawtMGysU/edit?usp=sharing"",""สบก!DN75"")"),147000)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IFERROR(__xludf.DUMMYFUNCTION("IMPORTRANGE(""https://docs.google.com/spreadsheets/d/1SX6NBoVAgQJ6U1MVXOaj8PK2l7WJ3RER9xtqwdhxkhw/edit?usp=sharing"",""สระแก้ว!I234"")"),0)</f>
        <v>0</v>
      </c>
      <c r="J339" s="188">
        <f ca="1">IFERROR(__xludf.DUMMYFUNCTION("IMPORTRANGE(""https://docs.google.com/spreadsheets/d/1SX6NBoVAgQJ6U1MVXOaj8PK2l7WJ3RER9xtqwdhxkhw/edit?usp=sharing"",""สระแก้ว!J234"")"),411)</f>
        <v>411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IFERROR(__xludf.DUMMYFUNCTION("IMPORTRANGE(""https://docs.google.com/spreadsheets/d/1SX6NBoVAgQJ6U1MVXOaj8PK2l7WJ3RER9xtqwdhxkhw/edit?usp=sharing"",""สระแก้ว!I235"")"),8720)</f>
        <v>8720</v>
      </c>
      <c r="J340" s="188">
        <f ca="1">IFERROR(__xludf.DUMMYFUNCTION("IMPORTRANGE(""https://docs.google.com/spreadsheets/d/1SX6NBoVAgQJ6U1MVXOaj8PK2l7WJ3RER9xtqwdhxkhw/edit?usp=sharing"",""สระแก้ว!J235"")"),4700)</f>
        <v>4700</v>
      </c>
      <c r="K340" s="342">
        <f t="shared" ca="1" si="103"/>
        <v>53.899082568807337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IFERROR(__xludf.DUMMYFUNCTION("IMPORTRANGE(""https://docs.google.com/spreadsheets/d/1SX6NBoVAgQJ6U1MVXOaj8PK2l7WJ3RER9xtqwdhxkhw/edit?usp=sharing"",""สระแก้ว!I236"")"),780)</f>
        <v>780</v>
      </c>
      <c r="J341" s="188">
        <f ca="1">IFERROR(__xludf.DUMMYFUNCTION("IMPORTRANGE(""https://docs.google.com/spreadsheets/d/1SX6NBoVAgQJ6U1MVXOaj8PK2l7WJ3RER9xtqwdhxkhw/edit?usp=sharing"",""สระแก้ว!J236"")"),604)</f>
        <v>604</v>
      </c>
      <c r="K341" s="342">
        <f t="shared" ca="1" si="103"/>
        <v>77.435897435897431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IFERROR(__xludf.DUMMYFUNCTION("IMPORTRANGE(""https://docs.google.com/spreadsheets/d/1SX6NBoVAgQJ6U1MVXOaj8PK2l7WJ3RER9xtqwdhxkhw/edit?usp=sharing"",""สระแก้ว!I237"")"),0)</f>
        <v>0</v>
      </c>
      <c r="J342" s="188">
        <f ca="1">IFERROR(__xludf.DUMMYFUNCTION("IMPORTRANGE(""https://docs.google.com/spreadsheets/d/1SX6NBoVAgQJ6U1MVXOaj8PK2l7WJ3RER9xtqwdhxkhw/edit?usp=sharing"",""สระแก้ว!J237"")"),8590.46)</f>
        <v>8590.4599999999991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IFERROR(__xludf.DUMMYFUNCTION("IMPORTRANGE(""https://docs.google.com/spreadsheets/d/1SX6NBoVAgQJ6U1MVXOaj8PK2l7WJ3RER9xtqwdhxkhw/edit?usp=sharing"",""สระแก้ว!I238"")"),780)</f>
        <v>780</v>
      </c>
      <c r="J343" s="188">
        <f ca="1">IFERROR(__xludf.DUMMYFUNCTION("IMPORTRANGE(""https://docs.google.com/spreadsheets/d/1SX6NBoVAgQJ6U1MVXOaj8PK2l7WJ3RER9xtqwdhxkhw/edit?usp=sharing"",""สระแก้ว!J238"")"),0)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IFERROR(__xludf.DUMMYFUNCTION("IMPORTRANGE(""https://docs.google.com/spreadsheets/d/1SX6NBoVAgQJ6U1MVXOaj8PK2l7WJ3RER9xtqwdhxkhw/edit?usp=sharing"",""สระแก้ว!I239"")"),0)</f>
        <v>0</v>
      </c>
      <c r="J344" s="188">
        <f ca="1">IFERROR(__xludf.DUMMYFUNCTION("IMPORTRANGE(""https://docs.google.com/spreadsheets/d/1SX6NBoVAgQJ6U1MVXOaj8PK2l7WJ3RER9xtqwdhxkhw/edit?usp=sharing"",""สระแก้ว!J239"")"),0)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IFERROR(__xludf.DUMMYFUNCTION("IMPORTRANGE(""https://docs.google.com/spreadsheets/d/1SX6NBoVAgQJ6U1MVXOaj8PK2l7WJ3RER9xtqwdhxkhw/edit?usp=sharing"",""สระแก้ว!I240"")"),780)</f>
        <v>780</v>
      </c>
      <c r="J345" s="188">
        <f ca="1">IFERROR(__xludf.DUMMYFUNCTION("IMPORTRANGE(""https://docs.google.com/spreadsheets/d/1SX6NBoVAgQJ6U1MVXOaj8PK2l7WJ3RER9xtqwdhxkhw/edit?usp=sharing"",""สระแก้ว!J240"")"),494)</f>
        <v>494</v>
      </c>
      <c r="K345" s="342">
        <f t="shared" ca="1" si="103"/>
        <v>63.333333333333336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IFERROR(__xludf.DUMMYFUNCTION("IMPORTRANGE(""https://docs.google.com/spreadsheets/d/1SX6NBoVAgQJ6U1MVXOaj8PK2l7WJ3RER9xtqwdhxkhw/edit?usp=sharing"",""สระแก้ว!I241"")"),0)</f>
        <v>0</v>
      </c>
      <c r="J346" s="188">
        <f ca="1">IFERROR(__xludf.DUMMYFUNCTION("IMPORTRANGE(""https://docs.google.com/spreadsheets/d/1SX6NBoVAgQJ6U1MVXOaj8PK2l7WJ3RER9xtqwdhxkhw/edit?usp=sharing"",""สระแก้ว!J241"")"),7497.55999999999)</f>
        <v>7497.5599999999904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IFERROR(__xludf.DUMMYFUNCTION("IMPORTRANGE(""https://docs.google.com/spreadsheets/d/1SX6NBoVAgQJ6U1MVXOaj8PK2l7WJ3RER9xtqwdhxkhw/edit?usp=sharing"",""สระแก้ว!L242"")"),2968478)</f>
        <v>2968478</v>
      </c>
      <c r="M347" s="358"/>
      <c r="N347" s="358">
        <f ca="1">IFERROR(__xludf.DUMMYFUNCTION("IMPORTRANGE(""https://docs.google.com/spreadsheets/d/1SX6NBoVAgQJ6U1MVXOaj8PK2l7WJ3RER9xtqwdhxkhw/edit?usp=sharing"",""สระแก้ว!M242"")"),838633.21)</f>
        <v>838633.21</v>
      </c>
      <c r="O347" s="358">
        <f ca="1">+IF(L347&gt;0,N347*100/L347,0)</f>
        <v>28.251286012562666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IFERROR(__xludf.DUMMYFUNCTION("IMPORTRANGE(""https://docs.google.com/spreadsheets/d/1SX6NBoVAgQJ6U1MVXOaj8PK2l7WJ3RER9xtqwdhxkhw/edit?usp=sharing"",""สระแก้ว!I244"")"),0)</f>
        <v>0</v>
      </c>
      <c r="J349" s="371">
        <f ca="1">IFERROR(__xludf.DUMMYFUNCTION("IMPORTRANGE(""https://docs.google.com/spreadsheets/d/1SX6NBoVAgQJ6U1MVXOaj8PK2l7WJ3RER9xtqwdhxkhw/edit?usp=sharing"",""สระแก้ว!J244"")"),0)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IFERROR(__xludf.DUMMYFUNCTION("IMPORTRANGE(""https://docs.google.com/spreadsheets/d/1SX6NBoVAgQJ6U1MVXOaj8PK2l7WJ3RER9xtqwdhxkhw/edit?usp=sharing"",""สระแก้ว!L244"")"),0)</f>
        <v>0</v>
      </c>
      <c r="M349" s="373"/>
      <c r="N349" s="373">
        <f ca="1">IFERROR(__xludf.DUMMYFUNCTION("IMPORTRANGE(""https://docs.google.com/spreadsheets/d/1SX6NBoVAgQJ6U1MVXOaj8PK2l7WJ3RER9xtqwdhxkhw/edit?usp=sharing"",""สระแก้ว!M244"")"),0)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IFERROR(__xludf.DUMMYFUNCTION("IMPORTRANGE(""https://docs.google.com/spreadsheets/d/1SX6NBoVAgQJ6U1MVXOaj8PK2l7WJ3RER9xtqwdhxkhw/edit?usp=sharing"",""สระแก้ว!I245"")"),0)</f>
        <v>0</v>
      </c>
      <c r="J350" s="371">
        <f ca="1">IFERROR(__xludf.DUMMYFUNCTION("IMPORTRANGE(""https://docs.google.com/spreadsheets/d/1SX6NBoVAgQJ6U1MVXOaj8PK2l7WJ3RER9xtqwdhxkhw/edit?usp=sharing"",""สระแก้ว!J245"")"),0)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IFERROR(__xludf.DUMMYFUNCTION("IMPORTRANGE(""https://docs.google.com/spreadsheets/d/1SX6NBoVAgQJ6U1MVXOaj8PK2l7WJ3RER9xtqwdhxkhw/edit?usp=sharing"",""สระแก้ว!L246"")"),0)</f>
        <v>0</v>
      </c>
      <c r="M351" s="164"/>
      <c r="N351" s="164">
        <f ca="1">IFERROR(__xludf.DUMMYFUNCTION("IMPORTRANGE(""https://docs.google.com/spreadsheets/d/1SX6NBoVAgQJ6U1MVXOaj8PK2l7WJ3RER9xtqwdhxkhw/edit?usp=sharing"",""สระแก้ว!M246"")"),0)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IFERROR(__xludf.DUMMYFUNCTION("IMPORTRANGE(""https://docs.google.com/spreadsheets/d/1SX6NBoVAgQJ6U1MVXOaj8PK2l7WJ3RER9xtqwdhxkhw/edit?usp=sharing"",""สระแก้ว!L247"")"),0)</f>
        <v>0</v>
      </c>
      <c r="M352" s="165"/>
      <c r="N352" s="164">
        <f ca="1">IFERROR(__xludf.DUMMYFUNCTION("IMPORTRANGE(""https://docs.google.com/spreadsheets/d/1SX6NBoVAgQJ6U1MVXOaj8PK2l7WJ3RER9xtqwdhxkhw/edit?usp=sharing"",""สระแก้ว!M247"")"),0)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IFERROR(__xludf.DUMMYFUNCTION("IMPORTRANGE(""https://docs.google.com/spreadsheets/d/1SX6NBoVAgQJ6U1MVXOaj8PK2l7WJ3RER9xtqwdhxkhw/edit?usp=sharing"",""สระแก้ว!L248"")"),0)</f>
        <v>0</v>
      </c>
      <c r="M353" s="169"/>
      <c r="N353" s="169">
        <f ca="1">IFERROR(__xludf.DUMMYFUNCTION("IMPORTRANGE(""https://docs.google.com/spreadsheets/d/1SX6NBoVAgQJ6U1MVXOaj8PK2l7WJ3RER9xtqwdhxkhw/edit?usp=sharing"",""สระแก้ว!M248"")"),0)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IFERROR(__xludf.DUMMYFUNCTION("IMPORTRANGE(""https://docs.google.com/spreadsheets/d/1SX6NBoVAgQJ6U1MVXOaj8PK2l7WJ3RER9xtqwdhxkhw/edit?usp=sharing"",""สระแก้ว!L249"")"),0)</f>
        <v>0</v>
      </c>
      <c r="M354" s="169"/>
      <c r="N354" s="168">
        <f ca="1">IFERROR(__xludf.DUMMYFUNCTION("IMPORTRANGE(""https://docs.google.com/spreadsheets/d/1SX6NBoVAgQJ6U1MVXOaj8PK2l7WJ3RER9xtqwdhxkhw/edit?usp=sharing"",""สระแก้ว!M249"")"),0)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IFERROR(__xludf.DUMMYFUNCTION("IMPORTRANGE(""https://docs.google.com/spreadsheets/d/1SX6NBoVAgQJ6U1MVXOaj8PK2l7WJ3RER9xtqwdhxkhw/edit?usp=sharing"",""สระแก้ว!M250"")"),0)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IFERROR(__xludf.DUMMYFUNCTION("IMPORTRANGE(""https://docs.google.com/spreadsheets/d/1SX6NBoVAgQJ6U1MVXOaj8PK2l7WJ3RER9xtqwdhxkhw/edit?usp=sharing"",""สระแก้ว!M251"")"),0)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IFERROR(__xludf.DUMMYFUNCTION("IMPORTRANGE(""https://docs.google.com/spreadsheets/d/1SX6NBoVAgQJ6U1MVXOaj8PK2l7WJ3RER9xtqwdhxkhw/edit?usp=sharing"",""สระแก้ว!M252"")"),0)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IFERROR(__xludf.DUMMYFUNCTION("IMPORTRANGE(""https://docs.google.com/spreadsheets/d/1SX6NBoVAgQJ6U1MVXOaj8PK2l7WJ3RER9xtqwdhxkhw/edit?usp=sharing"",""สระแก้ว!M253"")"),0)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IFERROR(__xludf.DUMMYFUNCTION("IMPORTRANGE(""https://docs.google.com/spreadsheets/d/1SX6NBoVAgQJ6U1MVXOaj8PK2l7WJ3RER9xtqwdhxkhw/edit?usp=sharing"",""สระแก้ว!J255"")"),0)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IFERROR(__xludf.DUMMYFUNCTION("IMPORTRANGE(""https://docs.google.com/spreadsheets/d/1SX6NBoVAgQJ6U1MVXOaj8PK2l7WJ3RER9xtqwdhxkhw/edit?usp=sharing"",""สระแก้ว!J256"")"),0)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IFERROR(__xludf.DUMMYFUNCTION("IMPORTRANGE(""https://docs.google.com/spreadsheets/d/1SX6NBoVAgQJ6U1MVXOaj8PK2l7WJ3RER9xtqwdhxkhw/edit?usp=sharing"",""สระแก้ว!J257"")"),0)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IFERROR(__xludf.DUMMYFUNCTION("IMPORTRANGE(""https://docs.google.com/spreadsheets/d/1SX6NBoVAgQJ6U1MVXOaj8PK2l7WJ3RER9xtqwdhxkhw/edit?usp=sharing"",""สระแก้ว!J258"")"),0)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IFERROR(__xludf.DUMMYFUNCTION("IMPORTRANGE(""https://docs.google.com/spreadsheets/d/1SX6NBoVAgQJ6U1MVXOaj8PK2l7WJ3RER9xtqwdhxkhw/edit?usp=sharing"",""สระแก้ว!J166"")"),0)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IFERROR(__xludf.DUMMYFUNCTION("IMPORTRANGE(""https://docs.google.com/spreadsheets/d/1SX6NBoVAgQJ6U1MVXOaj8PK2l7WJ3RER9xtqwdhxkhw/edit?usp=sharing"",""สระแก้ว!J166"")"),0)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IFERROR(__xludf.DUMMYFUNCTION("IMPORTRANGE(""https://docs.google.com/spreadsheets/d/1SX6NBoVAgQJ6U1MVXOaj8PK2l7WJ3RER9xtqwdhxkhw/edit?usp=sharing"",""สระแก้ว!J166"")"),0)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IFERROR(__xludf.DUMMYFUNCTION("IMPORTRANGE(""https://docs.google.com/spreadsheets/d/1SX6NBoVAgQJ6U1MVXOaj8PK2l7WJ3RER9xtqwdhxkhw/edit?usp=sharing"",""สระแก้ว!J166"")"),0)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IFERROR(__xludf.DUMMYFUNCTION("IMPORTRANGE(""https://docs.google.com/spreadsheets/d/1SX6NBoVAgQJ6U1MVXOaj8PK2l7WJ3RER9xtqwdhxkhw/edit?usp=sharing"",""สระแก้ว!I263"")"),0)</f>
        <v>0</v>
      </c>
      <c r="J368" s="188">
        <f ca="1">IFERROR(__xludf.DUMMYFUNCTION("IMPORTRANGE(""https://docs.google.com/spreadsheets/d/1SX6NBoVAgQJ6U1MVXOaj8PK2l7WJ3RER9xtqwdhxkhw/edit?usp=sharing"",""สระแก้ว!J263"")"),0)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IFERROR(__xludf.DUMMYFUNCTION("IMPORTRANGE(""https://docs.google.com/spreadsheets/d/1SX6NBoVAgQJ6U1MVXOaj8PK2l7WJ3RER9xtqwdhxkhw/edit?usp=sharing"",""สระแก้ว!I164"")"),0)</f>
        <v>0</v>
      </c>
      <c r="J369" s="204">
        <f ca="1">IFERROR(__xludf.DUMMYFUNCTION("IMPORTRANGE(""https://docs.google.com/spreadsheets/d/1SX6NBoVAgQJ6U1MVXOaj8PK2l7WJ3RER9xtqwdhxkhw/edit?usp=sharing"",""สระแก้ว!J164"")"),0)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IFERROR(__xludf.DUMMYFUNCTION("IMPORTRANGE(""https://docs.google.com/spreadsheets/d/1SX6NBoVAgQJ6U1MVXOaj8PK2l7WJ3RER9xtqwdhxkhw/edit?usp=sharing"",""สระแก้ว!I265"")"),0)</f>
        <v>0</v>
      </c>
      <c r="J370" s="204">
        <f ca="1">IFERROR(__xludf.DUMMYFUNCTION("IMPORTRANGE(""https://docs.google.com/spreadsheets/d/1SX6NBoVAgQJ6U1MVXOaj8PK2l7WJ3RER9xtqwdhxkhw/edit?usp=sharing"",""สระแก้ว!J265"")"),0)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IFERROR(__xludf.DUMMYFUNCTION("IMPORTRANGE(""https://docs.google.com/spreadsheets/d/1SX6NBoVAgQJ6U1MVXOaj8PK2l7WJ3RER9xtqwdhxkhw/edit?usp=sharing"",""สระแก้ว!I164"")"),0)</f>
        <v>0</v>
      </c>
      <c r="J371" s="189">
        <f ca="1">IFERROR(__xludf.DUMMYFUNCTION("IMPORTRANGE(""https://docs.google.com/spreadsheets/d/1SX6NBoVAgQJ6U1MVXOaj8PK2l7WJ3RER9xtqwdhxkhw/edit?usp=sharing"",""สระแก้ว!J164"")"),0)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IFERROR(__xludf.DUMMYFUNCTION("IMPORTRANGE(""https://docs.google.com/spreadsheets/d/1SX6NBoVAgQJ6U1MVXOaj8PK2l7WJ3RER9xtqwdhxkhw/edit?usp=sharing"",""สระแก้ว!I267"")"),0)</f>
        <v>0</v>
      </c>
      <c r="J372" s="189">
        <f ca="1">IFERROR(__xludf.DUMMYFUNCTION("IMPORTRANGE(""https://docs.google.com/spreadsheets/d/1SX6NBoVAgQJ6U1MVXOaj8PK2l7WJ3RER9xtqwdhxkhw/edit?usp=sharing"",""สระแก้ว!J267"")"),0)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IFERROR(__xludf.DUMMYFUNCTION("IMPORTRANGE(""https://docs.google.com/spreadsheets/d/1SX6NBoVAgQJ6U1MVXOaj8PK2l7WJ3RER9xtqwdhxkhw/edit?usp=sharing"",""สระแก้ว!I164"")"),0)</f>
        <v>0</v>
      </c>
      <c r="J373" s="204">
        <f ca="1">IFERROR(__xludf.DUMMYFUNCTION("IMPORTRANGE(""https://docs.google.com/spreadsheets/d/1SX6NBoVAgQJ6U1MVXOaj8PK2l7WJ3RER9xtqwdhxkhw/edit?usp=sharing"",""สระแก้ว!J164"")"),0)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IFERROR(__xludf.DUMMYFUNCTION("IMPORTRANGE(""https://docs.google.com/spreadsheets/d/1SX6NBoVAgQJ6U1MVXOaj8PK2l7WJ3RER9xtqwdhxkhw/edit?usp=sharing"",""สระแก้ว!I164"")"),0)</f>
        <v>0</v>
      </c>
      <c r="J374" s="188">
        <f ca="1">IFERROR(__xludf.DUMMYFUNCTION("IMPORTRANGE(""https://docs.google.com/spreadsheets/d/1SX6NBoVAgQJ6U1MVXOaj8PK2l7WJ3RER9xtqwdhxkhw/edit?usp=sharing"",""สระแก้ว!J164"")"),0)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IFERROR(__xludf.DUMMYFUNCTION("IMPORTRANGE(""https://docs.google.com/spreadsheets/d/1SX6NBoVAgQJ6U1MVXOaj8PK2l7WJ3RER9xtqwdhxkhw/edit?usp=sharing"",""สระแก้ว!I270"")"),0)</f>
        <v>0</v>
      </c>
      <c r="J375" s="188">
        <f ca="1">IFERROR(__xludf.DUMMYFUNCTION("IMPORTRANGE(""https://docs.google.com/spreadsheets/d/1SX6NBoVAgQJ6U1MVXOaj8PK2l7WJ3RER9xtqwdhxkhw/edit?usp=sharing"",""สระแก้ว!J270"")"),0)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IFERROR(__xludf.DUMMYFUNCTION("IMPORTRANGE(""https://docs.google.com/spreadsheets/d/1SX6NBoVAgQJ6U1MVXOaj8PK2l7WJ3RER9xtqwdhxkhw/edit?usp=sharing"",""สระแก้ว!I271"")"),0)</f>
        <v>0</v>
      </c>
      <c r="J376" s="189">
        <f ca="1">IFERROR(__xludf.DUMMYFUNCTION("IMPORTRANGE(""https://docs.google.com/spreadsheets/d/1SX6NBoVAgQJ6U1MVXOaj8PK2l7WJ3RER9xtqwdhxkhw/edit?usp=sharing"",""สระแก้ว!J271"")"),0)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IFERROR(__xludf.DUMMYFUNCTION("IMPORTRANGE(""https://docs.google.com/spreadsheets/d/1SX6NBoVAgQJ6U1MVXOaj8PK2l7WJ3RER9xtqwdhxkhw/edit?usp=sharing"",""สระแก้ว!I272"")"),0)</f>
        <v>0</v>
      </c>
      <c r="J377" s="204">
        <f ca="1">IFERROR(__xludf.DUMMYFUNCTION("IMPORTRANGE(""https://docs.google.com/spreadsheets/d/1SX6NBoVAgQJ6U1MVXOaj8PK2l7WJ3RER9xtqwdhxkhw/edit?usp=sharing"",""สระแก้ว!J272"")"),0)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IFERROR(__xludf.DUMMYFUNCTION("IMPORTRANGE(""https://docs.google.com/spreadsheets/d/1SX6NBoVAgQJ6U1MVXOaj8PK2l7WJ3RER9xtqwdhxkhw/edit?usp=sharing"",""สระแก้ว!J273"")"),0)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IFERROR(__xludf.DUMMYFUNCTION("IMPORTRANGE(""https://docs.google.com/spreadsheets/d/1SX6NBoVAgQJ6U1MVXOaj8PK2l7WJ3RER9xtqwdhxkhw/edit?usp=sharing"",""สระแก้ว!J274"")"),0)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IFERROR(__xludf.DUMMYFUNCTION("IMPORTRANGE(""https://docs.google.com/spreadsheets/d/1SX6NBoVAgQJ6U1MVXOaj8PK2l7WJ3RER9xtqwdhxkhw/edit?usp=sharing"",""สระแก้ว!I275"")"),1000)</f>
        <v>1000</v>
      </c>
      <c r="J380" s="371">
        <f ca="1">IFERROR(__xludf.DUMMYFUNCTION("IMPORTRANGE(""https://docs.google.com/spreadsheets/d/1SX6NBoVAgQJ6U1MVXOaj8PK2l7WJ3RER9xtqwdhxkhw/edit?usp=sharing"",""สระแก้ว!J275"")"),0)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IFERROR(__xludf.DUMMYFUNCTION("IMPORTRANGE(""https://docs.google.com/spreadsheets/d/1SX6NBoVAgQJ6U1MVXOaj8PK2l7WJ3RER9xtqwdhxkhw/edit?usp=sharing"",""สระแก้ว!L275"")"),1028520)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IFERROR(__xludf.DUMMYFUNCTION("IMPORTRANGE(""https://docs.google.com/spreadsheets/d/1SX6NBoVAgQJ6U1MVXOaj8PK2l7WJ3RER9xtqwdhxkhw/edit?usp=sharing"",""สระแก้ว!M275"")"),271712.72)</f>
        <v>271712.71999999997</v>
      </c>
      <c r="O380" s="373">
        <f ca="1">+IF(L380&gt;0,N380*100/L380,0)</f>
        <v>26.417835336211251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IFERROR(__xludf.DUMMYFUNCTION("IMPORTRANGE(""https://docs.google.com/spreadsheets/d/1SX6NBoVAgQJ6U1MVXOaj8PK2l7WJ3RER9xtqwdhxkhw/edit?usp=sharing"",""สระแก้ว!I276"")"),100)</f>
        <v>100</v>
      </c>
      <c r="J381" s="371">
        <f ca="1">IFERROR(__xludf.DUMMYFUNCTION("IMPORTRANGE(""https://docs.google.com/spreadsheets/d/1SX6NBoVAgQJ6U1MVXOaj8PK2l7WJ3RER9xtqwdhxkhw/edit?usp=sharing"",""สระแก้ว!J276"")"),100)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IFERROR(__xludf.DUMMYFUNCTION("IMPORTRANGE(""https://docs.google.com/spreadsheets/d/1SX6NBoVAgQJ6U1MVXOaj8PK2l7WJ3RER9xtqwdhxkhw/edit?usp=sharing"",""สระแก้ว!L277"")"),0)</f>
        <v>0</v>
      </c>
      <c r="M382" s="164"/>
      <c r="N382" s="164">
        <f ca="1">IFERROR(__xludf.DUMMYFUNCTION("IMPORTRANGE(""https://docs.google.com/spreadsheets/d/1SX6NBoVAgQJ6U1MVXOaj8PK2l7WJ3RER9xtqwdhxkhw/edit?usp=sharing"",""สระแก้ว!M277"")"),0)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IFERROR(__xludf.DUMMYFUNCTION("IMPORTRANGE(""https://docs.google.com/spreadsheets/d/1SX6NBoVAgQJ6U1MVXOaj8PK2l7WJ3RER9xtqwdhxkhw/edit?usp=sharing"",""สระแก้ว!L278"")"),1028520)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IFERROR(__xludf.DUMMYFUNCTION("IMPORTRANGE(""https://docs.google.com/spreadsheets/d/1SX6NBoVAgQJ6U1MVXOaj8PK2l7WJ3RER9xtqwdhxkhw/edit?usp=sharing"",""สระแก้ว!M278"")"),271712.72)</f>
        <v>271712.71999999997</v>
      </c>
      <c r="O383" s="165">
        <f t="shared" ca="1" si="109"/>
        <v>26.417835336211251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IFERROR(__xludf.DUMMYFUNCTION("IMPORTRANGE(""https://docs.google.com/spreadsheets/d/1SX6NBoVAgQJ6U1MVXOaj8PK2l7WJ3RER9xtqwdhxkhw/edit?usp=sharing"",""สระแก้ว!L279"")"),0)</f>
        <v>0</v>
      </c>
      <c r="M384" s="169"/>
      <c r="N384" s="169">
        <f ca="1">IFERROR(__xludf.DUMMYFUNCTION("IMPORTRANGE(""https://docs.google.com/spreadsheets/d/1SX6NBoVAgQJ6U1MVXOaj8PK2l7WJ3RER9xtqwdhxkhw/edit?usp=sharing"",""สระแก้ว!M279"")"),0)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IFERROR(__xludf.DUMMYFUNCTION("IMPORTRANGE(""https://docs.google.com/spreadsheets/d/1SX6NBoVAgQJ6U1MVXOaj8PK2l7WJ3RER9xtqwdhxkhw/edit?usp=sharing"",""สระแก้ว!L280"")"),1028520)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IFERROR(__xludf.DUMMYFUNCTION("IMPORTRANGE(""https://docs.google.com/spreadsheets/d/1SX6NBoVAgQJ6U1MVXOaj8PK2l7WJ3RER9xtqwdhxkhw/edit?usp=sharing"",""สระแก้ว!M280"")"),271712.72)</f>
        <v>271712.71999999997</v>
      </c>
      <c r="O385" s="169">
        <f t="shared" ca="1" si="109"/>
        <v>26.417835336211251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IFERROR(__xludf.DUMMYFUNCTION("IMPORTRANGE(""https://docs.google.com/spreadsheets/d/1SX6NBoVAgQJ6U1MVXOaj8PK2l7WJ3RER9xtqwdhxkhw/edit?usp=sharing"",""สระแก้ว!M281"")"),166980)</f>
        <v>166980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IFERROR(__xludf.DUMMYFUNCTION("IMPORTRANGE(""https://docs.google.com/spreadsheets/d/1SX6NBoVAgQJ6U1MVXOaj8PK2l7WJ3RER9xtqwdhxkhw/edit?usp=sharing"",""สระแก้ว!M282"")"),0)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IFERROR(__xludf.DUMMYFUNCTION("IMPORTRANGE(""https://docs.google.com/spreadsheets/d/1SX6NBoVAgQJ6U1MVXOaj8PK2l7WJ3RER9xtqwdhxkhw/edit?usp=sharing"",""สระแก้ว!M283"")"),52832.72)</f>
        <v>52832.72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IFERROR(__xludf.DUMMYFUNCTION("IMPORTRANGE(""https://docs.google.com/spreadsheets/d/1SX6NBoVAgQJ6U1MVXOaj8PK2l7WJ3RER9xtqwdhxkhw/edit?usp=sharing"",""สระแก้ว!M284"")"),51900)</f>
        <v>51900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IFERROR(__xludf.DUMMYFUNCTION("IMPORTRANGE(""https://docs.google.com/spreadsheets/d/1SX6NBoVAgQJ6U1MVXOaj8PK2l7WJ3RER9xtqwdhxkhw/edit?usp=sharing"",""สระแก้ว!J286"")"),0)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IFERROR(__xludf.DUMMYFUNCTION("IMPORTRANGE(""https://docs.google.com/spreadsheets/d/1SX6NBoVAgQJ6U1MVXOaj8PK2l7WJ3RER9xtqwdhxkhw/edit?usp=sharing"",""สระแก้ว!J287"")"),1)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IFERROR(__xludf.DUMMYFUNCTION("IMPORTRANGE(""https://docs.google.com/spreadsheets/d/1SX6NBoVAgQJ6U1MVXOaj8PK2l7WJ3RER9xtqwdhxkhw/edit?usp=sharing"",""สระแก้ว!J288"")"),1)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IFERROR(__xludf.DUMMYFUNCTION("IMPORTRANGE(""https://docs.google.com/spreadsheets/d/1SX6NBoVAgQJ6U1MVXOaj8PK2l7WJ3RER9xtqwdhxkhw/edit?usp=sharing"",""สระแก้ว!J289"")"),1)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IFERROR(__xludf.DUMMYFUNCTION("IMPORTRANGE(""https://docs.google.com/spreadsheets/d/1SX6NBoVAgQJ6U1MVXOaj8PK2l7WJ3RER9xtqwdhxkhw/edit?usp=sharing"",""สระแก้ว!I291"")"),100)</f>
        <v>100</v>
      </c>
      <c r="J396" s="198">
        <f ca="1">IFERROR(__xludf.DUMMYFUNCTION("IMPORTRANGE(""https://docs.google.com/spreadsheets/d/1SX6NBoVAgQJ6U1MVXOaj8PK2l7WJ3RER9xtqwdhxkhw/edit?usp=sharing"",""สระแก้ว!J291"")"),100)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IFERROR(__xludf.DUMMYFUNCTION("IMPORTRANGE(""https://docs.google.com/spreadsheets/d/1SX6NBoVAgQJ6U1MVXOaj8PK2l7WJ3RER9xtqwdhxkhw/edit?usp=sharing"",""สระแก้ว!I292"")"),1000)</f>
        <v>1000</v>
      </c>
      <c r="J397" s="198">
        <f ca="1">IFERROR(__xludf.DUMMYFUNCTION("IMPORTRANGE(""https://docs.google.com/spreadsheets/d/1SX6NBoVAgQJ6U1MVXOaj8PK2l7WJ3RER9xtqwdhxkhw/edit?usp=sharing"",""สระแก้ว!J292"")"),0)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IFERROR(__xludf.DUMMYFUNCTION("IMPORTRANGE(""https://docs.google.com/spreadsheets/d/1SX6NBoVAgQJ6U1MVXOaj8PK2l7WJ3RER9xtqwdhxkhw/edit?usp=sharing"",""สระแก้ว!I293"")"),100)</f>
        <v>100</v>
      </c>
      <c r="J398" s="198">
        <f ca="1">IFERROR(__xludf.DUMMYFUNCTION("IMPORTRANGE(""https://docs.google.com/spreadsheets/d/1SX6NBoVAgQJ6U1MVXOaj8PK2l7WJ3RER9xtqwdhxkhw/edit?usp=sharing"",""สระแก้ว!J293"")"),0)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IFERROR(__xludf.DUMMYFUNCTION("IMPORTRANGE(""https://docs.google.com/spreadsheets/d/1SX6NBoVAgQJ6U1MVXOaj8PK2l7WJ3RER9xtqwdhxkhw/edit?usp=sharing"",""สระแก้ว!J294"")"),0)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IFERROR(__xludf.DUMMYFUNCTION("IMPORTRANGE(""https://docs.google.com/spreadsheets/d/1SX6NBoVAgQJ6U1MVXOaj8PK2l7WJ3RER9xtqwdhxkhw/edit?usp=sharing"",""สระแก้ว!J295"")"),0)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IFERROR(__xludf.DUMMYFUNCTION("IMPORTRANGE(""https://docs.google.com/spreadsheets/d/1SX6NBoVAgQJ6U1MVXOaj8PK2l7WJ3RER9xtqwdhxkhw/edit?usp=sharing"",""สระแก้ว!I296"")"),195)</f>
        <v>195</v>
      </c>
      <c r="J401" s="371">
        <f ca="1">IFERROR(__xludf.DUMMYFUNCTION("IMPORTRANGE(""https://docs.google.com/spreadsheets/d/1SX6NBoVAgQJ6U1MVXOaj8PK2l7WJ3RER9xtqwdhxkhw/edit?usp=sharing"",""สระแก้ว!J296"")"),195)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IFERROR(__xludf.DUMMYFUNCTION("IMPORTRANGE(""https://docs.google.com/spreadsheets/d/1SX6NBoVAgQJ6U1MVXOaj8PK2l7WJ3RER9xtqwdhxkhw/edit?usp=sharing"",""สระแก้ว!L296"")"),196620)</f>
        <v>196620</v>
      </c>
      <c r="M401" s="373"/>
      <c r="N401" s="373">
        <f ca="1">IFERROR(__xludf.DUMMYFUNCTION("IMPORTRANGE(""https://docs.google.com/spreadsheets/d/1SX6NBoVAgQJ6U1MVXOaj8PK2l7WJ3RER9xtqwdhxkhw/edit?usp=sharing"",""สระแก้ว!M296"")"),120564)</f>
        <v>120564</v>
      </c>
      <c r="O401" s="373">
        <f ca="1">+IF(L401&gt;0,N401*100/L401,0)</f>
        <v>61.318278913640526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IFERROR(__xludf.DUMMYFUNCTION("IMPORTRANGE(""https://docs.google.com/spreadsheets/d/1SX6NBoVAgQJ6U1MVXOaj8PK2l7WJ3RER9xtqwdhxkhw/edit?usp=sharing"",""สระแก้ว!I297"")"),65)</f>
        <v>65</v>
      </c>
      <c r="J402" s="371">
        <f ca="1">IFERROR(__xludf.DUMMYFUNCTION("IMPORTRANGE(""https://docs.google.com/spreadsheets/d/1SX6NBoVAgQJ6U1MVXOaj8PK2l7WJ3RER9xtqwdhxkhw/edit?usp=sharing"",""สระแก้ว!J297"")"),65)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IFERROR(__xludf.DUMMYFUNCTION("IMPORTRANGE(""https://docs.google.com/spreadsheets/d/1SX6NBoVAgQJ6U1MVXOaj8PK2l7WJ3RER9xtqwdhxkhw/edit?usp=sharing"",""สระแก้ว!L298"")"),0)</f>
        <v>0</v>
      </c>
      <c r="M403" s="164"/>
      <c r="N403" s="169">
        <f ca="1">IFERROR(__xludf.DUMMYFUNCTION("IMPORTRANGE(""https://docs.google.com/spreadsheets/d/1SX6NBoVAgQJ6U1MVXOaj8PK2l7WJ3RER9xtqwdhxkhw/edit?usp=sharing"",""สระแก้ว!M298"")"),0)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IFERROR(__xludf.DUMMYFUNCTION("IMPORTRANGE(""https://docs.google.com/spreadsheets/d/1SX6NBoVAgQJ6U1MVXOaj8PK2l7WJ3RER9xtqwdhxkhw/edit?usp=sharing"",""สระแก้ว!L299"")"),196620)</f>
        <v>196620</v>
      </c>
      <c r="M404" s="165"/>
      <c r="N404" s="169">
        <f ca="1">IFERROR(__xludf.DUMMYFUNCTION("IMPORTRANGE(""https://docs.google.com/spreadsheets/d/1SX6NBoVAgQJ6U1MVXOaj8PK2l7WJ3RER9xtqwdhxkhw/edit?usp=sharing"",""สระแก้ว!M299"")"),120564)</f>
        <v>120564</v>
      </c>
      <c r="O404" s="169">
        <f t="shared" ca="1" si="112"/>
        <v>61.318278913640526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IFERROR(__xludf.DUMMYFUNCTION("IMPORTRANGE(""https://docs.google.com/spreadsheets/d/1SX6NBoVAgQJ6U1MVXOaj8PK2l7WJ3RER9xtqwdhxkhw/edit?usp=sharing"",""สระแก้ว!L300"")"),0)</f>
        <v>0</v>
      </c>
      <c r="M405" s="169"/>
      <c r="N405" s="169">
        <f ca="1">IFERROR(__xludf.DUMMYFUNCTION("IMPORTRANGE(""https://docs.google.com/spreadsheets/d/1SX6NBoVAgQJ6U1MVXOaj8PK2l7WJ3RER9xtqwdhxkhw/edit?usp=sharing"",""สระแก้ว!M300"")"),0)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IFERROR(__xludf.DUMMYFUNCTION("IMPORTRANGE(""https://docs.google.com/spreadsheets/d/1SX6NBoVAgQJ6U1MVXOaj8PK2l7WJ3RER9xtqwdhxkhw/edit?usp=sharing"",""สระแก้ว!L301"")"),196620)</f>
        <v>196620</v>
      </c>
      <c r="M406" s="169"/>
      <c r="N406" s="169">
        <f ca="1">IFERROR(__xludf.DUMMYFUNCTION("IMPORTRANGE(""https://docs.google.com/spreadsheets/d/1SX6NBoVAgQJ6U1MVXOaj8PK2l7WJ3RER9xtqwdhxkhw/edit?usp=sharing"",""สระแก้ว!M301"")"),120564)</f>
        <v>120564</v>
      </c>
      <c r="O406" s="169">
        <f t="shared" ca="1" si="112"/>
        <v>61.318278913640526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IFERROR(__xludf.DUMMYFUNCTION("IMPORTRANGE(""https://docs.google.com/spreadsheets/d/1SX6NBoVAgQJ6U1MVXOaj8PK2l7WJ3RER9xtqwdhxkhw/edit?usp=sharing"",""สระแก้ว!M302"")"),107714)</f>
        <v>107714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IFERROR(__xludf.DUMMYFUNCTION("IMPORTRANGE(""https://docs.google.com/spreadsheets/d/1SX6NBoVAgQJ6U1MVXOaj8PK2l7WJ3RER9xtqwdhxkhw/edit?usp=sharing"",""สระแก้ว!M303"")"),0)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IFERROR(__xludf.DUMMYFUNCTION("IMPORTRANGE(""https://docs.google.com/spreadsheets/d/1SX6NBoVAgQJ6U1MVXOaj8PK2l7WJ3RER9xtqwdhxkhw/edit?usp=sharing"",""สระแก้ว!M304"")"),0)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IFERROR(__xludf.DUMMYFUNCTION("IMPORTRANGE(""https://docs.google.com/spreadsheets/d/1SX6NBoVAgQJ6U1MVXOaj8PK2l7WJ3RER9xtqwdhxkhw/edit?usp=sharing"",""สระแก้ว!M305"")"),12850)</f>
        <v>12850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IFERROR(__xludf.DUMMYFUNCTION("IMPORTRANGE(""https://docs.google.com/spreadsheets/d/1SX6NBoVAgQJ6U1MVXOaj8PK2l7WJ3RER9xtqwdhxkhw/edit?usp=sharing"",""สระแก้ว!J307"")"),0)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IFERROR(__xludf.DUMMYFUNCTION("IMPORTRANGE(""https://docs.google.com/spreadsheets/d/1SX6NBoVAgQJ6U1MVXOaj8PK2l7WJ3RER9xtqwdhxkhw/edit?usp=sharing"",""สระแก้ว!J308"")"),1)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IFERROR(__xludf.DUMMYFUNCTION("IMPORTRANGE(""https://docs.google.com/spreadsheets/d/1SX6NBoVAgQJ6U1MVXOaj8PK2l7WJ3RER9xtqwdhxkhw/edit?usp=sharing"",""สระแก้ว!J309"")"),1)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IFERROR(__xludf.DUMMYFUNCTION("IMPORTRANGE(""https://docs.google.com/spreadsheets/d/1SX6NBoVAgQJ6U1MVXOaj8PK2l7WJ3RER9xtqwdhxkhw/edit?usp=sharing"",""สระแก้ว!J310"")"),1)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IFERROR(__xludf.DUMMYFUNCTION("IMPORTRANGE(""https://docs.google.com/spreadsheets/d/1SX6NBoVAgQJ6U1MVXOaj8PK2l7WJ3RER9xtqwdhxkhw/edit?usp=sharing"",""สระแก้ว!I311"")"),65)</f>
        <v>65</v>
      </c>
      <c r="J416" s="201">
        <f ca="1">IFERROR(__xludf.DUMMYFUNCTION("IMPORTRANGE(""https://docs.google.com/spreadsheets/d/1SX6NBoVAgQJ6U1MVXOaj8PK2l7WJ3RER9xtqwdhxkhw/edit?usp=sharing"",""สระแก้ว!J311"")"),65)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IFERROR(__xludf.DUMMYFUNCTION("IMPORTRANGE(""https://docs.google.com/spreadsheets/d/1SX6NBoVAgQJ6U1MVXOaj8PK2l7WJ3RER9xtqwdhxkhw/edit?usp=sharing"",""สระแก้ว!I312"")"),15)</f>
        <v>15</v>
      </c>
      <c r="J417" s="392">
        <f ca="1">IFERROR(__xludf.DUMMYFUNCTION("IMPORTRANGE(""https://docs.google.com/spreadsheets/d/1SX6NBoVAgQJ6U1MVXOaj8PK2l7WJ3RER9xtqwdhxkhw/edit?usp=sharing"",""สระแก้ว!J312"")"),15)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IFERROR(__xludf.DUMMYFUNCTION("IMPORTRANGE(""https://docs.google.com/spreadsheets/d/1SX6NBoVAgQJ6U1MVXOaj8PK2l7WJ3RER9xtqwdhxkhw/edit?usp=sharing"",""สระแก้ว!I313"")"),45)</f>
        <v>45</v>
      </c>
      <c r="J418" s="393">
        <f ca="1">IFERROR(__xludf.DUMMYFUNCTION("IMPORTRANGE(""https://docs.google.com/spreadsheets/d/1SX6NBoVAgQJ6U1MVXOaj8PK2l7WJ3RER9xtqwdhxkhw/edit?usp=sharing"",""สระแก้ว!J313"")"),45)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IFERROR(__xludf.DUMMYFUNCTION("IMPORTRANGE(""https://docs.google.com/spreadsheets/d/1SX6NBoVAgQJ6U1MVXOaj8PK2l7WJ3RER9xtqwdhxkhw/edit?usp=sharing"",""สระแก้ว!I314"")"),15)</f>
        <v>15</v>
      </c>
      <c r="J419" s="394">
        <f ca="1">IFERROR(__xludf.DUMMYFUNCTION("IMPORTRANGE(""https://docs.google.com/spreadsheets/d/1SX6NBoVAgQJ6U1MVXOaj8PK2l7WJ3RER9xtqwdhxkhw/edit?usp=sharing"",""สระแก้ว!J314"")"),15)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IFERROR(__xludf.DUMMYFUNCTION("IMPORTRANGE(""https://docs.google.com/spreadsheets/d/1SX6NBoVAgQJ6U1MVXOaj8PK2l7WJ3RER9xtqwdhxkhw/edit?usp=sharing"",""สระแก้ว!I315"")"),15)</f>
        <v>15</v>
      </c>
      <c r="J420" s="394">
        <f ca="1">IFERROR(__xludf.DUMMYFUNCTION("IMPORTRANGE(""https://docs.google.com/spreadsheets/d/1SX6NBoVAgQJ6U1MVXOaj8PK2l7WJ3RER9xtqwdhxkhw/edit?usp=sharing"",""สระแก้ว!J315"")"),15)</f>
        <v>15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IFERROR(__xludf.DUMMYFUNCTION("IMPORTRANGE(""https://docs.google.com/spreadsheets/d/1SX6NBoVAgQJ6U1MVXOaj8PK2l7WJ3RER9xtqwdhxkhw/edit?usp=sharing"",""สระแก้ว!I316"")"),26)</f>
        <v>26</v>
      </c>
      <c r="J421" s="392">
        <f ca="1">IFERROR(__xludf.DUMMYFUNCTION("IMPORTRANGE(""https://docs.google.com/spreadsheets/d/1SX6NBoVAgQJ6U1MVXOaj8PK2l7WJ3RER9xtqwdhxkhw/edit?usp=sharing"",""สระแก้ว!J316"")"),26)</f>
        <v>26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IFERROR(__xludf.DUMMYFUNCTION("IMPORTRANGE(""https://docs.google.com/spreadsheets/d/1SX6NBoVAgQJ6U1MVXOaj8PK2l7WJ3RER9xtqwdhxkhw/edit?usp=sharing"",""สระแก้ว!I317"")"),78)</f>
        <v>78</v>
      </c>
      <c r="J422" s="393">
        <f ca="1">IFERROR(__xludf.DUMMYFUNCTION("IMPORTRANGE(""https://docs.google.com/spreadsheets/d/1SX6NBoVAgQJ6U1MVXOaj8PK2l7WJ3RER9xtqwdhxkhw/edit?usp=sharing"",""สระแก้ว!J317"")"),78)</f>
        <v>78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IFERROR(__xludf.DUMMYFUNCTION("IMPORTRANGE(""https://docs.google.com/spreadsheets/d/1SX6NBoVAgQJ6U1MVXOaj8PK2l7WJ3RER9xtqwdhxkhw/edit?usp=sharing"",""สระแก้ว!I318"")"),26)</f>
        <v>26</v>
      </c>
      <c r="J423" s="394">
        <f ca="1">IFERROR(__xludf.DUMMYFUNCTION("IMPORTRANGE(""https://docs.google.com/spreadsheets/d/1SX6NBoVAgQJ6U1MVXOaj8PK2l7WJ3RER9xtqwdhxkhw/edit?usp=sharing"",""สระแก้ว!J318"")"),26)</f>
        <v>26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IFERROR(__xludf.DUMMYFUNCTION("IMPORTRANGE(""https://docs.google.com/spreadsheets/d/1SX6NBoVAgQJ6U1MVXOaj8PK2l7WJ3RER9xtqwdhxkhw/edit?usp=sharing"",""สระแก้ว!I319"")"),26)</f>
        <v>26</v>
      </c>
      <c r="J424" s="394">
        <f ca="1">IFERROR(__xludf.DUMMYFUNCTION("IMPORTRANGE(""https://docs.google.com/spreadsheets/d/1SX6NBoVAgQJ6U1MVXOaj8PK2l7WJ3RER9xtqwdhxkhw/edit?usp=sharing"",""สระแก้ว!J319"")"),26)</f>
        <v>26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IFERROR(__xludf.DUMMYFUNCTION("IMPORTRANGE(""https://docs.google.com/spreadsheets/d/1SX6NBoVAgQJ6U1MVXOaj8PK2l7WJ3RER9xtqwdhxkhw/edit?usp=sharing"",""สระแก้ว!I320"")"),26)</f>
        <v>26</v>
      </c>
      <c r="J425" s="394">
        <f ca="1">IFERROR(__xludf.DUMMYFUNCTION("IMPORTRANGE(""https://docs.google.com/spreadsheets/d/1SX6NBoVAgQJ6U1MVXOaj8PK2l7WJ3RER9xtqwdhxkhw/edit?usp=sharing"",""สระแก้ว!J320"")"),26)</f>
        <v>26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IFERROR(__xludf.DUMMYFUNCTION("IMPORTRANGE(""https://docs.google.com/spreadsheets/d/1SX6NBoVAgQJ6U1MVXOaj8PK2l7WJ3RER9xtqwdhxkhw/edit?usp=sharing"",""สระแก้ว!I321"")"),24)</f>
        <v>24</v>
      </c>
      <c r="J426" s="392">
        <f ca="1">IFERROR(__xludf.DUMMYFUNCTION("IMPORTRANGE(""https://docs.google.com/spreadsheets/d/1SX6NBoVAgQJ6U1MVXOaj8PK2l7WJ3RER9xtqwdhxkhw/edit?usp=sharing"",""สระแก้ว!J321"")"),24)</f>
        <v>24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IFERROR(__xludf.DUMMYFUNCTION("IMPORTRANGE(""https://docs.google.com/spreadsheets/d/1SX6NBoVAgQJ6U1MVXOaj8PK2l7WJ3RER9xtqwdhxkhw/edit?usp=sharing"",""สระแก้ว!I322"")"),72)</f>
        <v>72</v>
      </c>
      <c r="J427" s="393">
        <f ca="1">IFERROR(__xludf.DUMMYFUNCTION("IMPORTRANGE(""https://docs.google.com/spreadsheets/d/1SX6NBoVAgQJ6U1MVXOaj8PK2l7WJ3RER9xtqwdhxkhw/edit?usp=sharing"",""สระแก้ว!J322"")"),72)</f>
        <v>72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IFERROR(__xludf.DUMMYFUNCTION("IMPORTRANGE(""https://docs.google.com/spreadsheets/d/1SX6NBoVAgQJ6U1MVXOaj8PK2l7WJ3RER9xtqwdhxkhw/edit?usp=sharing"",""สระแก้ว!I323"")"),24)</f>
        <v>24</v>
      </c>
      <c r="J428" s="394">
        <f ca="1">IFERROR(__xludf.DUMMYFUNCTION("IMPORTRANGE(""https://docs.google.com/spreadsheets/d/1SX6NBoVAgQJ6U1MVXOaj8PK2l7WJ3RER9xtqwdhxkhw/edit?usp=sharing"",""สระแก้ว!J323"")"),24)</f>
        <v>24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IFERROR(__xludf.DUMMYFUNCTION("IMPORTRANGE(""https://docs.google.com/spreadsheets/d/1SX6NBoVAgQJ6U1MVXOaj8PK2l7WJ3RER9xtqwdhxkhw/edit?usp=sharing"",""สระแก้ว!I324"")"),24)</f>
        <v>24</v>
      </c>
      <c r="J429" s="394">
        <f ca="1">IFERROR(__xludf.DUMMYFUNCTION("IMPORTRANGE(""https://docs.google.com/spreadsheets/d/1SX6NBoVAgQJ6U1MVXOaj8PK2l7WJ3RER9xtqwdhxkhw/edit?usp=sharing"",""สระแก้ว!J324"")"),24)</f>
        <v>24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IFERROR(__xludf.DUMMYFUNCTION("IMPORTRANGE(""https://docs.google.com/spreadsheets/d/1SX6NBoVAgQJ6U1MVXOaj8PK2l7WJ3RER9xtqwdhxkhw/edit?usp=sharing"",""สระแก้ว!I325"")"),41)</f>
        <v>41</v>
      </c>
      <c r="J430" s="392">
        <f ca="1">IFERROR(__xludf.DUMMYFUNCTION("IMPORTRANGE(""https://docs.google.com/spreadsheets/d/1SX6NBoVAgQJ6U1MVXOaj8PK2l7WJ3RER9xtqwdhxkhw/edit?usp=sharing"",""สระแก้ว!J325"")"),0)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IFERROR(__xludf.DUMMYFUNCTION("IMPORTRANGE(""https://docs.google.com/spreadsheets/d/1SX6NBoVAgQJ6U1MVXOaj8PK2l7WJ3RER9xtqwdhxkhw/edit?usp=sharing"",""สระแก้ว!I326"")"),15)</f>
        <v>15</v>
      </c>
      <c r="J431" s="394">
        <f ca="1">IFERROR(__xludf.DUMMYFUNCTION("IMPORTRANGE(""https://docs.google.com/spreadsheets/d/1SX6NBoVAgQJ6U1MVXOaj8PK2l7WJ3RER9xtqwdhxkhw/edit?usp=sharing"",""สระแก้ว!J326"")"),0)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IFERROR(__xludf.DUMMYFUNCTION("IMPORTRANGE(""https://docs.google.com/spreadsheets/d/1SX6NBoVAgQJ6U1MVXOaj8PK2l7WJ3RER9xtqwdhxkhw/edit?usp=sharing"",""สระแก้ว!I327"")"),26)</f>
        <v>26</v>
      </c>
      <c r="J432" s="394">
        <f ca="1">IFERROR(__xludf.DUMMYFUNCTION("IMPORTRANGE(""https://docs.google.com/spreadsheets/d/1SX6NBoVAgQJ6U1MVXOaj8PK2l7WJ3RER9xtqwdhxkhw/edit?usp=sharing"",""สระแก้ว!J327"")"),0)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IFERROR(__xludf.DUMMYFUNCTION("IMPORTRANGE(""https://docs.google.com/spreadsheets/d/1SX6NBoVAgQJ6U1MVXOaj8PK2l7WJ3RER9xtqwdhxkhw/edit?usp=sharing"",""สระแก้ว!J328"")"),0)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IFERROR(__xludf.DUMMYFUNCTION("IMPORTRANGE(""https://docs.google.com/spreadsheets/d/1SX6NBoVAgQJ6U1MVXOaj8PK2l7WJ3RER9xtqwdhxkhw/edit?usp=sharing"",""สระแก้ว!J329"")"),0)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IFERROR(__xludf.DUMMYFUNCTION("IMPORTRANGE(""https://docs.google.com/spreadsheets/d/1SX6NBoVAgQJ6U1MVXOaj8PK2l7WJ3RER9xtqwdhxkhw/edit?usp=sharing"",""สระแก้ว!I330"")"),15)</f>
        <v>15</v>
      </c>
      <c r="J435" s="410">
        <f ca="1">IFERROR(__xludf.DUMMYFUNCTION("IMPORTRANGE(""https://docs.google.com/spreadsheets/d/1SX6NBoVAgQJ6U1MVXOaj8PK2l7WJ3RER9xtqwdhxkhw/edit?usp=sharing"",""สระแก้ว!J330"")"),15)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IFERROR(__xludf.DUMMYFUNCTION("IMPORTRANGE(""https://docs.google.com/spreadsheets/d/1SX6NBoVAgQJ6U1MVXOaj8PK2l7WJ3RER9xtqwdhxkhw/edit?usp=sharing"",""สระแก้ว!L330"")"),88000)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IFERROR(__xludf.DUMMYFUNCTION("IMPORTRANGE(""https://docs.google.com/spreadsheets/d/1SX6NBoVAgQJ6U1MVXOaj8PK2l7WJ3RER9xtqwdhxkhw/edit?usp=sharing"",""สระแก้ว!M330"")"),47270)</f>
        <v>47270</v>
      </c>
      <c r="O435" s="412">
        <f t="shared" ref="O435:O439" ca="1" si="114">+IF(L435&gt;0,N435*100/L435,0)</f>
        <v>53.715909090909093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IFERROR(__xludf.DUMMYFUNCTION("IMPORTRANGE(""https://docs.google.com/spreadsheets/d/1SX6NBoVAgQJ6U1MVXOaj8PK2l7WJ3RER9xtqwdhxkhw/edit?usp=sharing"",""สระแก้ว!L331"")"),0)</f>
        <v>0</v>
      </c>
      <c r="M436" s="164"/>
      <c r="N436" s="169">
        <f ca="1">IFERROR(__xludf.DUMMYFUNCTION("IMPORTRANGE(""https://docs.google.com/spreadsheets/d/1SX6NBoVAgQJ6U1MVXOaj8PK2l7WJ3RER9xtqwdhxkhw/edit?usp=sharing"",""สระแก้ว!M331"")"),0)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IFERROR(__xludf.DUMMYFUNCTION("IMPORTRANGE(""https://docs.google.com/spreadsheets/d/1SX6NBoVAgQJ6U1MVXOaj8PK2l7WJ3RER9xtqwdhxkhw/edit?usp=sharing"",""สระแก้ว!L332"")"),88000)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IFERROR(__xludf.DUMMYFUNCTION("IMPORTRANGE(""https://docs.google.com/spreadsheets/d/1SX6NBoVAgQJ6U1MVXOaj8PK2l7WJ3RER9xtqwdhxkhw/edit?usp=sharing"",""สระแก้ว!M332"")"),47270)</f>
        <v>47270</v>
      </c>
      <c r="O437" s="169">
        <f t="shared" ca="1" si="114"/>
        <v>53.715909090909093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IFERROR(__xludf.DUMMYFUNCTION("IMPORTRANGE(""https://docs.google.com/spreadsheets/d/1SX6NBoVAgQJ6U1MVXOaj8PK2l7WJ3RER9xtqwdhxkhw/edit?usp=sharing"",""สระแก้ว!L333"")"),0)</f>
        <v>0</v>
      </c>
      <c r="M438" s="169"/>
      <c r="N438" s="169">
        <f ca="1">IFERROR(__xludf.DUMMYFUNCTION("IMPORTRANGE(""https://docs.google.com/spreadsheets/d/1SX6NBoVAgQJ6U1MVXOaj8PK2l7WJ3RER9xtqwdhxkhw/edit?usp=sharing"",""สระแก้ว!M333"")"),0)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IFERROR(__xludf.DUMMYFUNCTION("IMPORTRANGE(""https://docs.google.com/spreadsheets/d/1SX6NBoVAgQJ6U1MVXOaj8PK2l7WJ3RER9xtqwdhxkhw/edit?usp=sharing"",""สระแก้ว!L334"")"),88000)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IFERROR(__xludf.DUMMYFUNCTION("IMPORTRANGE(""https://docs.google.com/spreadsheets/d/1SX6NBoVAgQJ6U1MVXOaj8PK2l7WJ3RER9xtqwdhxkhw/edit?usp=sharing"",""สระแก้ว!M334"")"),47270)</f>
        <v>47270</v>
      </c>
      <c r="O439" s="169">
        <f t="shared" ca="1" si="114"/>
        <v>53.715909090909093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IFERROR(__xludf.DUMMYFUNCTION("IMPORTRANGE(""https://docs.google.com/spreadsheets/d/1SX6NBoVAgQJ6U1MVXOaj8PK2l7WJ3RER9xtqwdhxkhw/edit?usp=sharing"",""สระแก้ว!M335"")"),32200)</f>
        <v>32200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IFERROR(__xludf.DUMMYFUNCTION("IMPORTRANGE(""https://docs.google.com/spreadsheets/d/1SX6NBoVAgQJ6U1MVXOaj8PK2l7WJ3RER9xtqwdhxkhw/edit?usp=sharing"",""สระแก้ว!M336"")"),0)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IFERROR(__xludf.DUMMYFUNCTION("IMPORTRANGE(""https://docs.google.com/spreadsheets/d/1SX6NBoVAgQJ6U1MVXOaj8PK2l7WJ3RER9xtqwdhxkhw/edit?usp=sharing"",""สระแก้ว!M337"")"),0)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IFERROR(__xludf.DUMMYFUNCTION("IMPORTRANGE(""https://docs.google.com/spreadsheets/d/1SX6NBoVAgQJ6U1MVXOaj8PK2l7WJ3RER9xtqwdhxkhw/edit?usp=sharing"",""สระแก้ว!M338"")"),15070)</f>
        <v>15070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IFERROR(__xludf.DUMMYFUNCTION("IMPORTRANGE(""https://docs.google.com/spreadsheets/d/1SX6NBoVAgQJ6U1MVXOaj8PK2l7WJ3RER9xtqwdhxkhw/edit?usp=sharing"",""สระแก้ว!J340"")"),0)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IFERROR(__xludf.DUMMYFUNCTION("IMPORTRANGE(""https://docs.google.com/spreadsheets/d/1SX6NBoVAgQJ6U1MVXOaj8PK2l7WJ3RER9xtqwdhxkhw/edit?usp=sharing"",""สระแก้ว!J341"")"),1)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IFERROR(__xludf.DUMMYFUNCTION("IMPORTRANGE(""https://docs.google.com/spreadsheets/d/1SX6NBoVAgQJ6U1MVXOaj8PK2l7WJ3RER9xtqwdhxkhw/edit?usp=sharing"",""สระแก้ว!J342"")"),1)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IFERROR(__xludf.DUMMYFUNCTION("IMPORTRANGE(""https://docs.google.com/spreadsheets/d/1SX6NBoVAgQJ6U1MVXOaj8PK2l7WJ3RER9xtqwdhxkhw/edit?usp=sharing"",""สระแก้ว!J343"")"),1)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IFERROR(__xludf.DUMMYFUNCTION("IMPORTRANGE(""https://docs.google.com/spreadsheets/d/1SX6NBoVAgQJ6U1MVXOaj8PK2l7WJ3RER9xtqwdhxkhw/edit?usp=sharing"",""สระแก้ว!I344"")"),15)</f>
        <v>15</v>
      </c>
      <c r="J449" s="201">
        <f ca="1">IFERROR(__xludf.DUMMYFUNCTION("IMPORTRANGE(""https://docs.google.com/spreadsheets/d/1SX6NBoVAgQJ6U1MVXOaj8PK2l7WJ3RER9xtqwdhxkhw/edit?usp=sharing"",""สระแก้ว!J344"")"),15)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IFERROR(__xludf.DUMMYFUNCTION("IMPORTRANGE(""https://docs.google.com/spreadsheets/d/1SX6NBoVAgQJ6U1MVXOaj8PK2l7WJ3RER9xtqwdhxkhw/edit?usp=sharing"",""สระแก้ว!I345"")"),15)</f>
        <v>15</v>
      </c>
      <c r="J450" s="189">
        <f ca="1">IFERROR(__xludf.DUMMYFUNCTION("IMPORTRANGE(""https://docs.google.com/spreadsheets/d/1SX6NBoVAgQJ6U1MVXOaj8PK2l7WJ3RER9xtqwdhxkhw/edit?usp=sharing"",""สระแก้ว!J345"")"),15)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IFERROR(__xludf.DUMMYFUNCTION("IMPORTRANGE(""https://docs.google.com/spreadsheets/d/1SX6NBoVAgQJ6U1MVXOaj8PK2l7WJ3RER9xtqwdhxkhw/edit?usp=sharing"",""สระแก้ว!I346"")"),0)</f>
        <v>0</v>
      </c>
      <c r="J451" s="188">
        <f ca="1">IFERROR(__xludf.DUMMYFUNCTION("IMPORTRANGE(""https://docs.google.com/spreadsheets/d/1SX6NBoVAgQJ6U1MVXOaj8PK2l7WJ3RER9xtqwdhxkhw/edit?usp=sharing"",""สระแก้ว!J346"")"),0)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IFERROR(__xludf.DUMMYFUNCTION("IMPORTRANGE(""https://docs.google.com/spreadsheets/d/1SX6NBoVAgQJ6U1MVXOaj8PK2l7WJ3RER9xtqwdhxkhw/edit?usp=sharing"",""สระแก้ว!I347"")"),0)</f>
        <v>0</v>
      </c>
      <c r="J452" s="188">
        <f ca="1">IFERROR(__xludf.DUMMYFUNCTION("IMPORTRANGE(""https://docs.google.com/spreadsheets/d/1SX6NBoVAgQJ6U1MVXOaj8PK2l7WJ3RER9xtqwdhxkhw/edit?usp=sharing"",""สระแก้ว!J347"")"),0)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IFERROR(__xludf.DUMMYFUNCTION("IMPORTRANGE(""https://docs.google.com/spreadsheets/d/1SX6NBoVAgQJ6U1MVXOaj8PK2l7WJ3RER9xtqwdhxkhw/edit?usp=sharing"",""สระแก้ว!J348"")"),0)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IFERROR(__xludf.DUMMYFUNCTION("IMPORTRANGE(""https://docs.google.com/spreadsheets/d/1SX6NBoVAgQJ6U1MVXOaj8PK2l7WJ3RER9xtqwdhxkhw/edit?usp=sharing"",""สระแก้ว!J349"")"),0)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IFERROR(__xludf.DUMMYFUNCTION("IMPORTRANGE(""https://docs.google.com/spreadsheets/d/1SX6NBoVAgQJ6U1MVXOaj8PK2l7WJ3RER9xtqwdhxkhw/edit?usp=sharing"",""สระแก้ว!I350"")"),63631)</f>
        <v>63631</v>
      </c>
      <c r="J455" s="371">
        <f ca="1">IFERROR(__xludf.DUMMYFUNCTION("IMPORTRANGE(""https://docs.google.com/spreadsheets/d/1SX6NBoVAgQJ6U1MVXOaj8PK2l7WJ3RER9xtqwdhxkhw/edit?usp=sharing"",""สระแก้ว!J350"")"),0)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IFERROR(__xludf.DUMMYFUNCTION("IMPORTRANGE(""https://docs.google.com/spreadsheets/d/1SX6NBoVAgQJ6U1MVXOaj8PK2l7WJ3RER9xtqwdhxkhw/edit?usp=sharing"",""สระแก้ว!L350"")"),1071935)</f>
        <v>1071935</v>
      </c>
      <c r="M455" s="373"/>
      <c r="N455" s="373">
        <f ca="1">IFERROR(__xludf.DUMMYFUNCTION("IMPORTRANGE(""https://docs.google.com/spreadsheets/d/1SX6NBoVAgQJ6U1MVXOaj8PK2l7WJ3RER9xtqwdhxkhw/edit?usp=sharing"",""สระแก้ว!M350"")"),221545.58)</f>
        <v>221545.58</v>
      </c>
      <c r="O455" s="373">
        <f t="shared" ref="O455:O459" ca="1" si="116">+IF(L455&gt;0,N455*100/L455,0)</f>
        <v>20.667818477799493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IFERROR(__xludf.DUMMYFUNCTION("IMPORTRANGE(""https://docs.google.com/spreadsheets/d/1SX6NBoVAgQJ6U1MVXOaj8PK2l7WJ3RER9xtqwdhxkhw/edit?usp=sharing"",""สระแก้ว!L351"")"),0)</f>
        <v>0</v>
      </c>
      <c r="M456" s="164"/>
      <c r="N456" s="169">
        <f ca="1">IFERROR(__xludf.DUMMYFUNCTION("IMPORTRANGE(""https://docs.google.com/spreadsheets/d/1SX6NBoVAgQJ6U1MVXOaj8PK2l7WJ3RER9xtqwdhxkhw/edit?usp=sharing"",""สระแก้ว!M351"")"),0)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IFERROR(__xludf.DUMMYFUNCTION("IMPORTRANGE(""https://docs.google.com/spreadsheets/d/1SX6NBoVAgQJ6U1MVXOaj8PK2l7WJ3RER9xtqwdhxkhw/edit?usp=sharing"",""สระแก้ว!L352"")"),1071935)</f>
        <v>1071935</v>
      </c>
      <c r="M457" s="165"/>
      <c r="N457" s="169">
        <f ca="1">IFERROR(__xludf.DUMMYFUNCTION("IMPORTRANGE(""https://docs.google.com/spreadsheets/d/1SX6NBoVAgQJ6U1MVXOaj8PK2l7WJ3RER9xtqwdhxkhw/edit?usp=sharing"",""สระแก้ว!M352"")"),221545.58)</f>
        <v>221545.58</v>
      </c>
      <c r="O457" s="169">
        <f t="shared" ca="1" si="116"/>
        <v>20.667818477799493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IFERROR(__xludf.DUMMYFUNCTION("IMPORTRANGE(""https://docs.google.com/spreadsheets/d/1SX6NBoVAgQJ6U1MVXOaj8PK2l7WJ3RER9xtqwdhxkhw/edit?usp=sharing"",""สระแก้ว!L353"")"),0)</f>
        <v>0</v>
      </c>
      <c r="M458" s="169"/>
      <c r="N458" s="169">
        <f ca="1">IFERROR(__xludf.DUMMYFUNCTION("IMPORTRANGE(""https://docs.google.com/spreadsheets/d/1SX6NBoVAgQJ6U1MVXOaj8PK2l7WJ3RER9xtqwdhxkhw/edit?usp=sharing"",""สระแก้ว!M353"")"),0)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IFERROR(__xludf.DUMMYFUNCTION("IMPORTRANGE(""https://docs.google.com/spreadsheets/d/1SX6NBoVAgQJ6U1MVXOaj8PK2l7WJ3RER9xtqwdhxkhw/edit?usp=sharing"",""สระแก้ว!L354"")"),1071935)</f>
        <v>1071935</v>
      </c>
      <c r="M459" s="169"/>
      <c r="N459" s="169">
        <f ca="1">IFERROR(__xludf.DUMMYFUNCTION("IMPORTRANGE(""https://docs.google.com/spreadsheets/d/1SX6NBoVAgQJ6U1MVXOaj8PK2l7WJ3RER9xtqwdhxkhw/edit?usp=sharing"",""สระแก้ว!M354"")"),221545.58)</f>
        <v>221545.58</v>
      </c>
      <c r="O459" s="169">
        <f t="shared" ca="1" si="116"/>
        <v>20.667818477799493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IFERROR(__xludf.DUMMYFUNCTION("IMPORTRANGE(""https://docs.google.com/spreadsheets/d/1SX6NBoVAgQJ6U1MVXOaj8PK2l7WJ3RER9xtqwdhxkhw/edit?usp=sharing"",""สระแก้ว!M355"")"),0)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IFERROR(__xludf.DUMMYFUNCTION("IMPORTRANGE(""https://docs.google.com/spreadsheets/d/1SX6NBoVAgQJ6U1MVXOaj8PK2l7WJ3RER9xtqwdhxkhw/edit?usp=sharing"",""สระแก้ว!M356"")"),0)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IFERROR(__xludf.DUMMYFUNCTION("IMPORTRANGE(""https://docs.google.com/spreadsheets/d/1SX6NBoVAgQJ6U1MVXOaj8PK2l7WJ3RER9xtqwdhxkhw/edit?usp=sharing"",""สระแก้ว!M357"")"),53225.58)</f>
        <v>53225.58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IFERROR(__xludf.DUMMYFUNCTION("IMPORTRANGE(""https://docs.google.com/spreadsheets/d/1SX6NBoVAgQJ6U1MVXOaj8PK2l7WJ3RER9xtqwdhxkhw/edit?usp=sharing"",""สระแก้ว!M358"")"),168320)</f>
        <v>168320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IFERROR(__xludf.DUMMYFUNCTION("IMPORTRANGE(""https://docs.google.com/spreadsheets/d/1SX6NBoVAgQJ6U1MVXOaj8PK2l7WJ3RER9xtqwdhxkhw/edit?usp=sharing"",""สระแก้ว!I359"")"),63631)</f>
        <v>63631</v>
      </c>
      <c r="J464" s="267">
        <f ca="1">IFERROR(__xludf.DUMMYFUNCTION("IMPORTRANGE(""https://docs.google.com/spreadsheets/d/1SX6NBoVAgQJ6U1MVXOaj8PK2l7WJ3RER9xtqwdhxkhw/edit?usp=sharing"",""สระแก้ว!J359"")"),0)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IFERROR(__xludf.DUMMYFUNCTION("IMPORTRANGE(""https://docs.google.com/spreadsheets/d/1SX6NBoVAgQJ6U1MVXOaj8PK2l7WJ3RER9xtqwdhxkhw/edit?usp=sharing"",""สระแก้ว!I360"")"),63631)</f>
        <v>63631</v>
      </c>
      <c r="J465" s="420">
        <f ca="1">IFERROR(__xludf.DUMMYFUNCTION("IMPORTRANGE(""https://docs.google.com/spreadsheets/d/1SX6NBoVAgQJ6U1MVXOaj8PK2l7WJ3RER9xtqwdhxkhw/edit?usp=sharing"",""สระแก้ว!J360"")"),63631)</f>
        <v>63631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IFERROR(__xludf.DUMMYFUNCTION("IMPORTRANGE(""https://docs.google.com/spreadsheets/d/1SX6NBoVAgQJ6U1MVXOaj8PK2l7WJ3RER9xtqwdhxkhw/edit?usp=sharing"",""สระแก้ว!I361"")"),7113)</f>
        <v>7113</v>
      </c>
      <c r="J466" s="420">
        <f ca="1">IFERROR(__xludf.DUMMYFUNCTION("IMPORTRANGE(""https://docs.google.com/spreadsheets/d/1SX6NBoVAgQJ6U1MVXOaj8PK2l7WJ3RER9xtqwdhxkhw/edit?usp=sharing"",""สระแก้ว!J361"")"),7113)</f>
        <v>7113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IFERROR(__xludf.DUMMYFUNCTION("IMPORTRANGE(""https://docs.google.com/spreadsheets/d/1SX6NBoVAgQJ6U1MVXOaj8PK2l7WJ3RER9xtqwdhxkhw/edit?usp=sharing"",""สระแก้ว!I362"")"),0)</f>
        <v>0</v>
      </c>
      <c r="J467" s="189">
        <f ca="1">IFERROR(__xludf.DUMMYFUNCTION("IMPORTRANGE(""https://docs.google.com/spreadsheets/d/1SX6NBoVAgQJ6U1MVXOaj8PK2l7WJ3RER9xtqwdhxkhw/edit?usp=sharing"",""สระแก้ว!J362"")"),47572)</f>
        <v>47572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IFERROR(__xludf.DUMMYFUNCTION("IMPORTRANGE(""https://docs.google.com/spreadsheets/d/1SX6NBoVAgQJ6U1MVXOaj8PK2l7WJ3RER9xtqwdhxkhw/edit?usp=sharing"",""สระแก้ว!I363"")"),0)</f>
        <v>0</v>
      </c>
      <c r="J468" s="189">
        <f ca="1">IFERROR(__xludf.DUMMYFUNCTION("IMPORTRANGE(""https://docs.google.com/spreadsheets/d/1SX6NBoVAgQJ6U1MVXOaj8PK2l7WJ3RER9xtqwdhxkhw/edit?usp=sharing"",""สระแก้ว!J363"")"),5852)</f>
        <v>5852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IFERROR(__xludf.DUMMYFUNCTION("IMPORTRANGE(""https://docs.google.com/spreadsheets/d/1SX6NBoVAgQJ6U1MVXOaj8PK2l7WJ3RER9xtqwdhxkhw/edit?usp=sharing"",""สระแก้ว!I364"")"),0)</f>
        <v>0</v>
      </c>
      <c r="J469" s="189">
        <f ca="1">IFERROR(__xludf.DUMMYFUNCTION("IMPORTRANGE(""https://docs.google.com/spreadsheets/d/1SX6NBoVAgQJ6U1MVXOaj8PK2l7WJ3RER9xtqwdhxkhw/edit?usp=sharing"",""สระแก้ว!J364"")"),13997)</f>
        <v>13997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IFERROR(__xludf.DUMMYFUNCTION("IMPORTRANGE(""https://docs.google.com/spreadsheets/d/1SX6NBoVAgQJ6U1MVXOaj8PK2l7WJ3RER9xtqwdhxkhw/edit?usp=sharing"",""สระแก้ว!I365"")"),0)</f>
        <v>0</v>
      </c>
      <c r="J470" s="189">
        <f ca="1">IFERROR(__xludf.DUMMYFUNCTION("IMPORTRANGE(""https://docs.google.com/spreadsheets/d/1SX6NBoVAgQJ6U1MVXOaj8PK2l7WJ3RER9xtqwdhxkhw/edit?usp=sharing"",""สระแก้ว!J365"")"),1110)</f>
        <v>1110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IFERROR(__xludf.DUMMYFUNCTION("IMPORTRANGE(""https://docs.google.com/spreadsheets/d/1SX6NBoVAgQJ6U1MVXOaj8PK2l7WJ3RER9xtqwdhxkhw/edit?usp=sharing"",""สระแก้ว!I366"")"),0)</f>
        <v>0</v>
      </c>
      <c r="J471" s="189">
        <f ca="1">IFERROR(__xludf.DUMMYFUNCTION("IMPORTRANGE(""https://docs.google.com/spreadsheets/d/1SX6NBoVAgQJ6U1MVXOaj8PK2l7WJ3RER9xtqwdhxkhw/edit?usp=sharing"",""สระแก้ว!J366"")"),2062)</f>
        <v>2062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IFERROR(__xludf.DUMMYFUNCTION("IMPORTRANGE(""https://docs.google.com/spreadsheets/d/1SX6NBoVAgQJ6U1MVXOaj8PK2l7WJ3RER9xtqwdhxkhw/edit?usp=sharing"",""สระแก้ว!I367"")"),0)</f>
        <v>0</v>
      </c>
      <c r="J472" s="189">
        <f ca="1">IFERROR(__xludf.DUMMYFUNCTION("IMPORTRANGE(""https://docs.google.com/spreadsheets/d/1SX6NBoVAgQJ6U1MVXOaj8PK2l7WJ3RER9xtqwdhxkhw/edit?usp=sharing"",""สระแก้ว!J367"")"),151)</f>
        <v>151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IFERROR(__xludf.DUMMYFUNCTION("IMPORTRANGE(""https://docs.google.com/spreadsheets/d/1SX6NBoVAgQJ6U1MVXOaj8PK2l7WJ3RER9xtqwdhxkhw/edit?usp=sharing"",""สระแก้ว!I368"")"),63631)</f>
        <v>63631</v>
      </c>
      <c r="J473" s="420">
        <f ca="1">IFERROR(__xludf.DUMMYFUNCTION("IMPORTRANGE(""https://docs.google.com/spreadsheets/d/1SX6NBoVAgQJ6U1MVXOaj8PK2l7WJ3RER9xtqwdhxkhw/edit?usp=sharing"",""สระแก้ว!J368"")"),63631)</f>
        <v>63631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IFERROR(__xludf.DUMMYFUNCTION("IMPORTRANGE(""https://docs.google.com/spreadsheets/d/1SX6NBoVAgQJ6U1MVXOaj8PK2l7WJ3RER9xtqwdhxkhw/edit?usp=sharing"",""สระแก้ว!I369"")"),7113)</f>
        <v>7113</v>
      </c>
      <c r="J474" s="420">
        <f ca="1">IFERROR(__xludf.DUMMYFUNCTION("IMPORTRANGE(""https://docs.google.com/spreadsheets/d/1SX6NBoVAgQJ6U1MVXOaj8PK2l7WJ3RER9xtqwdhxkhw/edit?usp=sharing"",""สระแก้ว!J369"")"),7113)</f>
        <v>7113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IFERROR(__xludf.DUMMYFUNCTION("IMPORTRANGE(""https://docs.google.com/spreadsheets/d/1SX6NBoVAgQJ6U1MVXOaj8PK2l7WJ3RER9xtqwdhxkhw/edit?usp=sharing"",""สระแก้ว!I370"")"),0)</f>
        <v>0</v>
      </c>
      <c r="J475" s="189">
        <f ca="1">IFERROR(__xludf.DUMMYFUNCTION("IMPORTRANGE(""https://docs.google.com/spreadsheets/d/1SX6NBoVAgQJ6U1MVXOaj8PK2l7WJ3RER9xtqwdhxkhw/edit?usp=sharing"",""สระแก้ว!J370"")"),51098)</f>
        <v>51098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IFERROR(__xludf.DUMMYFUNCTION("IMPORTRANGE(""https://docs.google.com/spreadsheets/d/1SX6NBoVAgQJ6U1MVXOaj8PK2l7WJ3RER9xtqwdhxkhw/edit?usp=sharing"",""สระแก้ว!I371"")"),0)</f>
        <v>0</v>
      </c>
      <c r="J476" s="189">
        <f ca="1">IFERROR(__xludf.DUMMYFUNCTION("IMPORTRANGE(""https://docs.google.com/spreadsheets/d/1SX6NBoVAgQJ6U1MVXOaj8PK2l7WJ3RER9xtqwdhxkhw/edit?usp=sharing"",""สระแก้ว!J371"")"),6360)</f>
        <v>6360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IFERROR(__xludf.DUMMYFUNCTION("IMPORTRANGE(""https://docs.google.com/spreadsheets/d/1SX6NBoVAgQJ6U1MVXOaj8PK2l7WJ3RER9xtqwdhxkhw/edit?usp=sharing"",""สระแก้ว!I372"")"),0)</f>
        <v>0</v>
      </c>
      <c r="J477" s="189">
        <f ca="1">IFERROR(__xludf.DUMMYFUNCTION("IMPORTRANGE(""https://docs.google.com/spreadsheets/d/1SX6NBoVAgQJ6U1MVXOaj8PK2l7WJ3RER9xtqwdhxkhw/edit?usp=sharing"",""สระแก้ว!J372"")"),10623)</f>
        <v>10623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IFERROR(__xludf.DUMMYFUNCTION("IMPORTRANGE(""https://docs.google.com/spreadsheets/d/1SX6NBoVAgQJ6U1MVXOaj8PK2l7WJ3RER9xtqwdhxkhw/edit?usp=sharing"",""สระแก้ว!I373"")"),0)</f>
        <v>0</v>
      </c>
      <c r="J478" s="189">
        <f ca="1">IFERROR(__xludf.DUMMYFUNCTION("IMPORTRANGE(""https://docs.google.com/spreadsheets/d/1SX6NBoVAgQJ6U1MVXOaj8PK2l7WJ3RER9xtqwdhxkhw/edit?usp=sharing"",""สระแก้ว!J373"")"),589)</f>
        <v>589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IFERROR(__xludf.DUMMYFUNCTION("IMPORTRANGE(""https://docs.google.com/spreadsheets/d/1SX6NBoVAgQJ6U1MVXOaj8PK2l7WJ3RER9xtqwdhxkhw/edit?usp=sharing"",""สระแก้ว!I374"")"),0)</f>
        <v>0</v>
      </c>
      <c r="J479" s="189">
        <f ca="1">IFERROR(__xludf.DUMMYFUNCTION("IMPORTRANGE(""https://docs.google.com/spreadsheets/d/1SX6NBoVAgQJ6U1MVXOaj8PK2l7WJ3RER9xtqwdhxkhw/edit?usp=sharing"",""สระแก้ว!J374"")"),1910)</f>
        <v>1910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IFERROR(__xludf.DUMMYFUNCTION("IMPORTRANGE(""https://docs.google.com/spreadsheets/d/1SX6NBoVAgQJ6U1MVXOaj8PK2l7WJ3RER9xtqwdhxkhw/edit?usp=sharing"",""สระแก้ว!I375"")"),0)</f>
        <v>0</v>
      </c>
      <c r="J480" s="189">
        <f ca="1">IFERROR(__xludf.DUMMYFUNCTION("IMPORTRANGE(""https://docs.google.com/spreadsheets/d/1SX6NBoVAgQJ6U1MVXOaj8PK2l7WJ3RER9xtqwdhxkhw/edit?usp=sharing"",""สระแก้ว!J375"")"),164)</f>
        <v>164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IFERROR(__xludf.DUMMYFUNCTION("IMPORTRANGE(""https://docs.google.com/spreadsheets/d/1SX6NBoVAgQJ6U1MVXOaj8PK2l7WJ3RER9xtqwdhxkhw/edit?usp=sharing"",""สระแก้ว!I376"")"),63631)</f>
        <v>63631</v>
      </c>
      <c r="J481" s="420">
        <f ca="1">IFERROR(__xludf.DUMMYFUNCTION("IMPORTRANGE(""https://docs.google.com/spreadsheets/d/1SX6NBoVAgQJ6U1MVXOaj8PK2l7WJ3RER9xtqwdhxkhw/edit?usp=sharing"",""สระแก้ว!J376"")"),0)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IFERROR(__xludf.DUMMYFUNCTION("IMPORTRANGE(""https://docs.google.com/spreadsheets/d/1SX6NBoVAgQJ6U1MVXOaj8PK2l7WJ3RER9xtqwdhxkhw/edit?usp=sharing"",""สระแก้ว!I377"")"),7113)</f>
        <v>7113</v>
      </c>
      <c r="J482" s="420">
        <f ca="1">IFERROR(__xludf.DUMMYFUNCTION("IMPORTRANGE(""https://docs.google.com/spreadsheets/d/1SX6NBoVAgQJ6U1MVXOaj8PK2l7WJ3RER9xtqwdhxkhw/edit?usp=sharing"",""สระแก้ว!J377"")"),0)</f>
        <v>0</v>
      </c>
      <c r="K482" s="202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IFERROR(__xludf.DUMMYFUNCTION("IMPORTRANGE(""https://docs.google.com/spreadsheets/d/1SX6NBoVAgQJ6U1MVXOaj8PK2l7WJ3RER9xtqwdhxkhw/edit?usp=sharing"",""สระแก้ว!I378"")"),0)</f>
        <v>0</v>
      </c>
      <c r="J483" s="189">
        <f ca="1">IFERROR(__xludf.DUMMYFUNCTION("IMPORTRANGE(""https://docs.google.com/spreadsheets/d/1SX6NBoVAgQJ6U1MVXOaj8PK2l7WJ3RER9xtqwdhxkhw/edit?usp=sharing"",""สระแก้ว!J378"")"),0)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IFERROR(__xludf.DUMMYFUNCTION("IMPORTRANGE(""https://docs.google.com/spreadsheets/d/1SX6NBoVAgQJ6U1MVXOaj8PK2l7WJ3RER9xtqwdhxkhw/edit?usp=sharing"",""สระแก้ว!I379"")"),0)</f>
        <v>0</v>
      </c>
      <c r="J484" s="189">
        <f ca="1">IFERROR(__xludf.DUMMYFUNCTION("IMPORTRANGE(""https://docs.google.com/spreadsheets/d/1SX6NBoVAgQJ6U1MVXOaj8PK2l7WJ3RER9xtqwdhxkhw/edit?usp=sharing"",""สระแก้ว!J379"")"),0)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IFERROR(__xludf.DUMMYFUNCTION("IMPORTRANGE(""https://docs.google.com/spreadsheets/d/1SX6NBoVAgQJ6U1MVXOaj8PK2l7WJ3RER9xtqwdhxkhw/edit?usp=sharing"",""สระแก้ว!I380"")"),0)</f>
        <v>0</v>
      </c>
      <c r="J485" s="189">
        <f ca="1">IFERROR(__xludf.DUMMYFUNCTION("IMPORTRANGE(""https://docs.google.com/spreadsheets/d/1SX6NBoVAgQJ6U1MVXOaj8PK2l7WJ3RER9xtqwdhxkhw/edit?usp=sharing"",""สระแก้ว!J380"")"),0)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IFERROR(__xludf.DUMMYFUNCTION("IMPORTRANGE(""https://docs.google.com/spreadsheets/d/1SX6NBoVAgQJ6U1MVXOaj8PK2l7WJ3RER9xtqwdhxkhw/edit?usp=sharing"",""สระแก้ว!I381"")"),0)</f>
        <v>0</v>
      </c>
      <c r="J486" s="189">
        <f ca="1">IFERROR(__xludf.DUMMYFUNCTION("IMPORTRANGE(""https://docs.google.com/spreadsheets/d/1SX6NBoVAgQJ6U1MVXOaj8PK2l7WJ3RER9xtqwdhxkhw/edit?usp=sharing"",""สระแก้ว!J381"")"),0)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IFERROR(__xludf.DUMMYFUNCTION("IMPORTRANGE(""https://docs.google.com/spreadsheets/d/1SX6NBoVAgQJ6U1MVXOaj8PK2l7WJ3RER9xtqwdhxkhw/edit?usp=sharing"",""สระแก้ว!I382"")"),0)</f>
        <v>0</v>
      </c>
      <c r="J487" s="420">
        <f ca="1">IFERROR(__xludf.DUMMYFUNCTION("IMPORTRANGE(""https://docs.google.com/spreadsheets/d/1SX6NBoVAgQJ6U1MVXOaj8PK2l7WJ3RER9xtqwdhxkhw/edit?usp=sharing"",""สระแก้ว!J382"")"),0)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IFERROR(__xludf.DUMMYFUNCTION("IMPORTRANGE(""https://docs.google.com/spreadsheets/d/1SX6NBoVAgQJ6U1MVXOaj8PK2l7WJ3RER9xtqwdhxkhw/edit?usp=sharing"",""สระแก้ว!I383"")"),0)</f>
        <v>0</v>
      </c>
      <c r="J488" s="420">
        <f ca="1">IFERROR(__xludf.DUMMYFUNCTION("IMPORTRANGE(""https://docs.google.com/spreadsheets/d/1SX6NBoVAgQJ6U1MVXOaj8PK2l7WJ3RER9xtqwdhxkhw/edit?usp=sharing"",""สระแก้ว!J383"")"),0)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IFERROR(__xludf.DUMMYFUNCTION("IMPORTRANGE(""https://docs.google.com/spreadsheets/d/1SX6NBoVAgQJ6U1MVXOaj8PK2l7WJ3RER9xtqwdhxkhw/edit?usp=sharing"",""สระแก้ว!I384"")"),0)</f>
        <v>0</v>
      </c>
      <c r="J489" s="189">
        <f ca="1">IFERROR(__xludf.DUMMYFUNCTION("IMPORTRANGE(""https://docs.google.com/spreadsheets/d/1SX6NBoVAgQJ6U1MVXOaj8PK2l7WJ3RER9xtqwdhxkhw/edit?usp=sharing"",""สระแก้ว!J384"")"),0)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IFERROR(__xludf.DUMMYFUNCTION("IMPORTRANGE(""https://docs.google.com/spreadsheets/d/1SX6NBoVAgQJ6U1MVXOaj8PK2l7WJ3RER9xtqwdhxkhw/edit?usp=sharing"",""สระแก้ว!I385"")"),0)</f>
        <v>0</v>
      </c>
      <c r="J490" s="189">
        <f ca="1">IFERROR(__xludf.DUMMYFUNCTION("IMPORTRANGE(""https://docs.google.com/spreadsheets/d/1SX6NBoVAgQJ6U1MVXOaj8PK2l7WJ3RER9xtqwdhxkhw/edit?usp=sharing"",""สระแก้ว!J385"")"),0)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IFERROR(__xludf.DUMMYFUNCTION("IMPORTRANGE(""https://docs.google.com/spreadsheets/d/1SX6NBoVAgQJ6U1MVXOaj8PK2l7WJ3RER9xtqwdhxkhw/edit?usp=sharing"",""สระแก้ว!I386"")"),0)</f>
        <v>0</v>
      </c>
      <c r="J491" s="189">
        <f ca="1">IFERROR(__xludf.DUMMYFUNCTION("IMPORTRANGE(""https://docs.google.com/spreadsheets/d/1SX6NBoVAgQJ6U1MVXOaj8PK2l7WJ3RER9xtqwdhxkhw/edit?usp=sharing"",""สระแก้ว!J386"")"),0)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IFERROR(__xludf.DUMMYFUNCTION("IMPORTRANGE(""https://docs.google.com/spreadsheets/d/1SX6NBoVAgQJ6U1MVXOaj8PK2l7WJ3RER9xtqwdhxkhw/edit?usp=sharing"",""สระแก้ว!I387"")"),0)</f>
        <v>0</v>
      </c>
      <c r="J492" s="189">
        <f ca="1">IFERROR(__xludf.DUMMYFUNCTION("IMPORTRANGE(""https://docs.google.com/spreadsheets/d/1SX6NBoVAgQJ6U1MVXOaj8PK2l7WJ3RER9xtqwdhxkhw/edit?usp=sharing"",""สระแก้ว!J387"")"),0)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IFERROR(__xludf.DUMMYFUNCTION("IMPORTRANGE(""https://docs.google.com/spreadsheets/d/1SX6NBoVAgQJ6U1MVXOaj8PK2l7WJ3RER9xtqwdhxkhw/edit?usp=sharing"",""สระแก้ว!I388"")"),0)</f>
        <v>0</v>
      </c>
      <c r="J493" s="189">
        <f ca="1">IFERROR(__xludf.DUMMYFUNCTION("IMPORTRANGE(""https://docs.google.com/spreadsheets/d/1SX6NBoVAgQJ6U1MVXOaj8PK2l7WJ3RER9xtqwdhxkhw/edit?usp=sharing"",""สระแก้ว!J388"")"),0)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IFERROR(__xludf.DUMMYFUNCTION("IMPORTRANGE(""https://docs.google.com/spreadsheets/d/1SX6NBoVAgQJ6U1MVXOaj8PK2l7WJ3RER9xtqwdhxkhw/edit?usp=sharing"",""สระแก้ว!I389"")"),0)</f>
        <v>0</v>
      </c>
      <c r="J494" s="436">
        <f ca="1">IFERROR(__xludf.DUMMYFUNCTION("IMPORTRANGE(""https://docs.google.com/spreadsheets/d/1SX6NBoVAgQJ6U1MVXOaj8PK2l7WJ3RER9xtqwdhxkhw/edit?usp=sharing"",""สระแก้ว!J389"")"),0)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IFERROR(__xludf.DUMMYFUNCTION("IMPORTRANGE(""https://docs.google.com/spreadsheets/d/1SX6NBoVAgQJ6U1MVXOaj8PK2l7WJ3RER9xtqwdhxkhw/edit?usp=sharing"",""สระแก้ว!I390"")"),0)</f>
        <v>0</v>
      </c>
      <c r="J495" s="436">
        <f ca="1">IFERROR(__xludf.DUMMYFUNCTION("IMPORTRANGE(""https://docs.google.com/spreadsheets/d/1SX6NBoVAgQJ6U1MVXOaj8PK2l7WJ3RER9xtqwdhxkhw/edit?usp=sharing"",""สระแก้ว!J390"")"),0)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IFERROR(__xludf.DUMMYFUNCTION("IMPORTRANGE(""https://docs.google.com/spreadsheets/d/1SX6NBoVAgQJ6U1MVXOaj8PK2l7WJ3RER9xtqwdhxkhw/edit?usp=sharing"",""สระแก้ว!I391"")"),0)</f>
        <v>0</v>
      </c>
      <c r="J496" s="436">
        <f ca="1">IFERROR(__xludf.DUMMYFUNCTION("IMPORTRANGE(""https://docs.google.com/spreadsheets/d/1SX6NBoVAgQJ6U1MVXOaj8PK2l7WJ3RER9xtqwdhxkhw/edit?usp=sharing"",""สระแก้ว!J391"")"),0)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IFERROR(__xludf.DUMMYFUNCTION("IMPORTRANGE(""https://docs.google.com/spreadsheets/d/1SX6NBoVAgQJ6U1MVXOaj8PK2l7WJ3RER9xtqwdhxkhw/edit?usp=sharing"",""สระแก้ว!I392"")"),22372)</f>
        <v>22372</v>
      </c>
      <c r="J497" s="443">
        <f ca="1">IFERROR(__xludf.DUMMYFUNCTION("IMPORTRANGE(""https://docs.google.com/spreadsheets/d/1SX6NBoVAgQJ6U1MVXOaj8PK2l7WJ3RER9xtqwdhxkhw/edit?usp=sharing"",""สระแก้ว!J392"")"),4603)</f>
        <v>4603</v>
      </c>
      <c r="K497" s="444">
        <f t="shared" ca="1" si="117"/>
        <v>20.57482567495083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IFERROR(__xludf.DUMMYFUNCTION("IMPORTRANGE(""https://docs.google.com/spreadsheets/d/1SX6NBoVAgQJ6U1MVXOaj8PK2l7WJ3RER9xtqwdhxkhw/edit?usp=sharing"",""สระแก้ว!I393"")"),22372)</f>
        <v>22372</v>
      </c>
      <c r="J498" s="420">
        <f ca="1">IFERROR(__xludf.DUMMYFUNCTION("IMPORTRANGE(""https://docs.google.com/spreadsheets/d/1SX6NBoVAgQJ6U1MVXOaj8PK2l7WJ3RER9xtqwdhxkhw/edit?usp=sharing"",""สระแก้ว!J393"")"),4603)</f>
        <v>4603</v>
      </c>
      <c r="K498" s="202">
        <f t="shared" ca="1" si="117"/>
        <v>20.57482567495083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IFERROR(__xludf.DUMMYFUNCTION("IMPORTRANGE(""https://docs.google.com/spreadsheets/d/1SX6NBoVAgQJ6U1MVXOaj8PK2l7WJ3RER9xtqwdhxkhw/edit?usp=sharing"",""สระแก้ว!I394"")"),1398)</f>
        <v>1398</v>
      </c>
      <c r="J499" s="420">
        <f ca="1">IFERROR(__xludf.DUMMYFUNCTION("IMPORTRANGE(""https://docs.google.com/spreadsheets/d/1SX6NBoVAgQJ6U1MVXOaj8PK2l7WJ3RER9xtqwdhxkhw/edit?usp=sharing"",""สระแก้ว!J394"")"),256)</f>
        <v>256</v>
      </c>
      <c r="K499" s="202">
        <f t="shared" ca="1" si="117"/>
        <v>18.311874105865524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IFERROR(__xludf.DUMMYFUNCTION("IMPORTRANGE(""https://docs.google.com/spreadsheets/d/1SX6NBoVAgQJ6U1MVXOaj8PK2l7WJ3RER9xtqwdhxkhw/edit?usp=sharing"",""สระแก้ว!I395"")"),0)</f>
        <v>0</v>
      </c>
      <c r="J500" s="162">
        <f ca="1">IFERROR(__xludf.DUMMYFUNCTION("IMPORTRANGE(""https://docs.google.com/spreadsheets/d/1SX6NBoVAgQJ6U1MVXOaj8PK2l7WJ3RER9xtqwdhxkhw/edit?usp=sharing"",""สระแก้ว!J395"")"),4421)</f>
        <v>4421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IFERROR(__xludf.DUMMYFUNCTION("IMPORTRANGE(""https://docs.google.com/spreadsheets/d/1SX6NBoVAgQJ6U1MVXOaj8PK2l7WJ3RER9xtqwdhxkhw/edit?usp=sharing"",""สระแก้ว!I396"")"),0)</f>
        <v>0</v>
      </c>
      <c r="J501" s="162">
        <f ca="1">IFERROR(__xludf.DUMMYFUNCTION("IMPORTRANGE(""https://docs.google.com/spreadsheets/d/1SX6NBoVAgQJ6U1MVXOaj8PK2l7WJ3RER9xtqwdhxkhw/edit?usp=sharing"",""สระแก้ว!J396"")"),247)</f>
        <v>247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IFERROR(__xludf.DUMMYFUNCTION("IMPORTRANGE(""https://docs.google.com/spreadsheets/d/1SX6NBoVAgQJ6U1MVXOaj8PK2l7WJ3RER9xtqwdhxkhw/edit?usp=sharing"",""สระแก้ว!I397"")"),0)</f>
        <v>0</v>
      </c>
      <c r="J502" s="189">
        <f ca="1">IFERROR(__xludf.DUMMYFUNCTION("IMPORTRANGE(""https://docs.google.com/spreadsheets/d/1SX6NBoVAgQJ6U1MVXOaj8PK2l7WJ3RER9xtqwdhxkhw/edit?usp=sharing"",""สระแก้ว!J397"")"),4416)</f>
        <v>4416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IFERROR(__xludf.DUMMYFUNCTION("IMPORTRANGE(""https://docs.google.com/spreadsheets/d/1SX6NBoVAgQJ6U1MVXOaj8PK2l7WJ3RER9xtqwdhxkhw/edit?usp=sharing"",""สระแก้ว!I398"")"),0)</f>
        <v>0</v>
      </c>
      <c r="J503" s="198">
        <f ca="1">IFERROR(__xludf.DUMMYFUNCTION("IMPORTRANGE(""https://docs.google.com/spreadsheets/d/1SX6NBoVAgQJ6U1MVXOaj8PK2l7WJ3RER9xtqwdhxkhw/edit?usp=sharing"",""สระแก้ว!J398"")"),246)</f>
        <v>246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IFERROR(__xludf.DUMMYFUNCTION("IMPORTRANGE(""https://docs.google.com/spreadsheets/d/1SX6NBoVAgQJ6U1MVXOaj8PK2l7WJ3RER9xtqwdhxkhw/edit?usp=sharing"",""สระแก้ว!I399"")"),0)</f>
        <v>0</v>
      </c>
      <c r="J504" s="189">
        <f ca="1">IFERROR(__xludf.DUMMYFUNCTION("IMPORTRANGE(""https://docs.google.com/spreadsheets/d/1SX6NBoVAgQJ6U1MVXOaj8PK2l7WJ3RER9xtqwdhxkhw/edit?usp=sharing"",""สระแก้ว!J399"")"),5)</f>
        <v>5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IFERROR(__xludf.DUMMYFUNCTION("IMPORTRANGE(""https://docs.google.com/spreadsheets/d/1SX6NBoVAgQJ6U1MVXOaj8PK2l7WJ3RER9xtqwdhxkhw/edit?usp=sharing"",""สระแก้ว!I400"")"),0)</f>
        <v>0</v>
      </c>
      <c r="J505" s="198">
        <f ca="1">IFERROR(__xludf.DUMMYFUNCTION("IMPORTRANGE(""https://docs.google.com/spreadsheets/d/1SX6NBoVAgQJ6U1MVXOaj8PK2l7WJ3RER9xtqwdhxkhw/edit?usp=sharing"",""สระแก้ว!J400"")"),1)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IFERROR(__xludf.DUMMYFUNCTION("IMPORTRANGE(""https://docs.google.com/spreadsheets/d/1SX6NBoVAgQJ6U1MVXOaj8PK2l7WJ3RER9xtqwdhxkhw/edit?usp=sharing"",""สระแก้ว!I401"")"),0)</f>
        <v>0</v>
      </c>
      <c r="J506" s="189">
        <f ca="1">IFERROR(__xludf.DUMMYFUNCTION("IMPORTRANGE(""https://docs.google.com/spreadsheets/d/1SX6NBoVAgQJ6U1MVXOaj8PK2l7WJ3RER9xtqwdhxkhw/edit?usp=sharing"",""สระแก้ว!J401"")"),0)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IFERROR(__xludf.DUMMYFUNCTION("IMPORTRANGE(""https://docs.google.com/spreadsheets/d/1SX6NBoVAgQJ6U1MVXOaj8PK2l7WJ3RER9xtqwdhxkhw/edit?usp=sharing"",""สระแก้ว!I402"")"),0)</f>
        <v>0</v>
      </c>
      <c r="J507" s="198">
        <f ca="1">IFERROR(__xludf.DUMMYFUNCTION("IMPORTRANGE(""https://docs.google.com/spreadsheets/d/1SX6NBoVAgQJ6U1MVXOaj8PK2l7WJ3RER9xtqwdhxkhw/edit?usp=sharing"",""สระแก้ว!J402"")"),0)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IFERROR(__xludf.DUMMYFUNCTION("IMPORTRANGE(""https://docs.google.com/spreadsheets/d/1SX6NBoVAgQJ6U1MVXOaj8PK2l7WJ3RER9xtqwdhxkhw/edit?usp=sharing"",""สระแก้ว!I403"")"),0)</f>
        <v>0</v>
      </c>
      <c r="J508" s="162">
        <f ca="1">IFERROR(__xludf.DUMMYFUNCTION("IMPORTRANGE(""https://docs.google.com/spreadsheets/d/1SX6NBoVAgQJ6U1MVXOaj8PK2l7WJ3RER9xtqwdhxkhw/edit?usp=sharing"",""สระแก้ว!J403"")"),182)</f>
        <v>182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IFERROR(__xludf.DUMMYFUNCTION("IMPORTRANGE(""https://docs.google.com/spreadsheets/d/1SX6NBoVAgQJ6U1MVXOaj8PK2l7WJ3RER9xtqwdhxkhw/edit?usp=sharing"",""สระแก้ว!I404"")"),0)</f>
        <v>0</v>
      </c>
      <c r="J509" s="162">
        <f ca="1">IFERROR(__xludf.DUMMYFUNCTION("IMPORTRANGE(""https://docs.google.com/spreadsheets/d/1SX6NBoVAgQJ6U1MVXOaj8PK2l7WJ3RER9xtqwdhxkhw/edit?usp=sharing"",""สระแก้ว!J404"")"),9)</f>
        <v>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IFERROR(__xludf.DUMMYFUNCTION("IMPORTRANGE(""https://docs.google.com/spreadsheets/d/1SX6NBoVAgQJ6U1MVXOaj8PK2l7WJ3RER9xtqwdhxkhw/edit?usp=sharing"",""สระแก้ว!I405"")"),0)</f>
        <v>0</v>
      </c>
      <c r="J510" s="198">
        <f ca="1">IFERROR(__xludf.DUMMYFUNCTION("IMPORTRANGE(""https://docs.google.com/spreadsheets/d/1SX6NBoVAgQJ6U1MVXOaj8PK2l7WJ3RER9xtqwdhxkhw/edit?usp=sharing"",""สระแก้ว!J405"")"),182)</f>
        <v>182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IFERROR(__xludf.DUMMYFUNCTION("IMPORTRANGE(""https://docs.google.com/spreadsheets/d/1SX6NBoVAgQJ6U1MVXOaj8PK2l7WJ3RER9xtqwdhxkhw/edit?usp=sharing"",""สระแก้ว!I406"")"),0)</f>
        <v>0</v>
      </c>
      <c r="J511" s="198">
        <f ca="1">IFERROR(__xludf.DUMMYFUNCTION("IMPORTRANGE(""https://docs.google.com/spreadsheets/d/1SX6NBoVAgQJ6U1MVXOaj8PK2l7WJ3RER9xtqwdhxkhw/edit?usp=sharing"",""สระแก้ว!J406"")"),9)</f>
        <v>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IFERROR(__xludf.DUMMYFUNCTION("IMPORTRANGE(""https://docs.google.com/spreadsheets/d/1SX6NBoVAgQJ6U1MVXOaj8PK2l7WJ3RER9xtqwdhxkhw/edit?usp=sharing"",""สระแก้ว!I407"")"),0)</f>
        <v>0</v>
      </c>
      <c r="J512" s="198">
        <f ca="1">IFERROR(__xludf.DUMMYFUNCTION("IMPORTRANGE(""https://docs.google.com/spreadsheets/d/1SX6NBoVAgQJ6U1MVXOaj8PK2l7WJ3RER9xtqwdhxkhw/edit?usp=sharing"",""สระแก้ว!J407"")"),0)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IFERROR(__xludf.DUMMYFUNCTION("IMPORTRANGE(""https://docs.google.com/spreadsheets/d/1SX6NBoVAgQJ6U1MVXOaj8PK2l7WJ3RER9xtqwdhxkhw/edit?usp=sharing"",""สระแก้ว!I408"")"),0)</f>
        <v>0</v>
      </c>
      <c r="J513" s="198">
        <f ca="1">IFERROR(__xludf.DUMMYFUNCTION("IMPORTRANGE(""https://docs.google.com/spreadsheets/d/1SX6NBoVAgQJ6U1MVXOaj8PK2l7WJ3RER9xtqwdhxkhw/edit?usp=sharing"",""สระแก้ว!J408"")"),0)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IFERROR(__xludf.DUMMYFUNCTION("IMPORTRANGE(""https://docs.google.com/spreadsheets/d/1SX6NBoVAgQJ6U1MVXOaj8PK2l7WJ3RER9xtqwdhxkhw/edit?usp=sharing"",""สระแก้ว!I409"")"),0)</f>
        <v>0</v>
      </c>
      <c r="J514" s="198">
        <f ca="1">IFERROR(__xludf.DUMMYFUNCTION("IMPORTRANGE(""https://docs.google.com/spreadsheets/d/1SX6NBoVAgQJ6U1MVXOaj8PK2l7WJ3RER9xtqwdhxkhw/edit?usp=sharing"",""สระแก้ว!J409"")"),0)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IFERROR(__xludf.DUMMYFUNCTION("IMPORTRANGE(""https://docs.google.com/spreadsheets/d/1SX6NBoVAgQJ6U1MVXOaj8PK2l7WJ3RER9xtqwdhxkhw/edit?usp=sharing"",""สระแก้ว!I410"")"),0)</f>
        <v>0</v>
      </c>
      <c r="J515" s="198">
        <f ca="1">IFERROR(__xludf.DUMMYFUNCTION("IMPORTRANGE(""https://docs.google.com/spreadsheets/d/1SX6NBoVAgQJ6U1MVXOaj8PK2l7WJ3RER9xtqwdhxkhw/edit?usp=sharing"",""สระแก้ว!J410"")"),0)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IFERROR(__xludf.DUMMYFUNCTION("IMPORTRANGE(""https://docs.google.com/spreadsheets/d/1SX6NBoVAgQJ6U1MVXOaj8PK2l7WJ3RER9xtqwdhxkhw/edit?usp=sharing"",""สระแก้ว!I411"")"),0)</f>
        <v>0</v>
      </c>
      <c r="J516" s="267">
        <f ca="1">IFERROR(__xludf.DUMMYFUNCTION("IMPORTRANGE(""https://docs.google.com/spreadsheets/d/1SX6NBoVAgQJ6U1MVXOaj8PK2l7WJ3RER9xtqwdhxkhw/edit?usp=sharing"",""สระแก้ว!J411"")"),0)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IFERROR(__xludf.DUMMYFUNCTION("IMPORTRANGE(""https://docs.google.com/spreadsheets/d/1SX6NBoVAgQJ6U1MVXOaj8PK2l7WJ3RER9xtqwdhxkhw/edit?usp=sharing"",""สระแก้ว!I412"")"),0)</f>
        <v>0</v>
      </c>
      <c r="J517" s="284">
        <f ca="1">IFERROR(__xludf.DUMMYFUNCTION("IMPORTRANGE(""https://docs.google.com/spreadsheets/d/1SX6NBoVAgQJ6U1MVXOaj8PK2l7WJ3RER9xtqwdhxkhw/edit?usp=sharing"",""สระแก้ว!J412"")"),0)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IFERROR(__xludf.DUMMYFUNCTION("IMPORTRANGE(""https://docs.google.com/spreadsheets/d/1SX6NBoVAgQJ6U1MVXOaj8PK2l7WJ3RER9xtqwdhxkhw/edit?usp=sharing"",""สระแก้ว!I413"")"),0)</f>
        <v>0</v>
      </c>
      <c r="J518" s="284">
        <f ca="1">IFERROR(__xludf.DUMMYFUNCTION("IMPORTRANGE(""https://docs.google.com/spreadsheets/d/1SX6NBoVAgQJ6U1MVXOaj8PK2l7WJ3RER9xtqwdhxkhw/edit?usp=sharing"",""สระแก้ว!J413"")"),0)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IFERROR(__xludf.DUMMYFUNCTION("IMPORTRANGE(""https://docs.google.com/spreadsheets/d/1SX6NBoVAgQJ6U1MVXOaj8PK2l7WJ3RER9xtqwdhxkhw/edit?usp=sharing"",""สระแก้ว!I414"")"),0)</f>
        <v>0</v>
      </c>
      <c r="J519" s="188">
        <f ca="1">IFERROR(__xludf.DUMMYFUNCTION("IMPORTRANGE(""https://docs.google.com/spreadsheets/d/1SX6NBoVAgQJ6U1MVXOaj8PK2l7WJ3RER9xtqwdhxkhw/edit?usp=sharing"",""สระแก้ว!J414"")"),0)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IFERROR(__xludf.DUMMYFUNCTION("IMPORTRANGE(""https://docs.google.com/spreadsheets/d/1SX6NBoVAgQJ6U1MVXOaj8PK2l7WJ3RER9xtqwdhxkhw/edit?usp=sharing"",""สระแก้ว!I415"")"),0)</f>
        <v>0</v>
      </c>
      <c r="J520" s="188">
        <f ca="1">IFERROR(__xludf.DUMMYFUNCTION("IMPORTRANGE(""https://docs.google.com/spreadsheets/d/1SX6NBoVAgQJ6U1MVXOaj8PK2l7WJ3RER9xtqwdhxkhw/edit?usp=sharing"",""สระแก้ว!J415"")"),0)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IFERROR(__xludf.DUMMYFUNCTION("IMPORTRANGE(""https://docs.google.com/spreadsheets/d/1SX6NBoVAgQJ6U1MVXOaj8PK2l7WJ3RER9xtqwdhxkhw/edit?usp=sharing"",""สระแก้ว!I416"")"),0)</f>
        <v>0</v>
      </c>
      <c r="J521" s="188">
        <f ca="1">IFERROR(__xludf.DUMMYFUNCTION("IMPORTRANGE(""https://docs.google.com/spreadsheets/d/1SX6NBoVAgQJ6U1MVXOaj8PK2l7WJ3RER9xtqwdhxkhw/edit?usp=sharing"",""สระแก้ว!J416"")"),0)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IFERROR(__xludf.DUMMYFUNCTION("IMPORTRANGE(""https://docs.google.com/spreadsheets/d/1SX6NBoVAgQJ6U1MVXOaj8PK2l7WJ3RER9xtqwdhxkhw/edit?usp=sharing"",""สระแก้ว!I417"")"),0)</f>
        <v>0</v>
      </c>
      <c r="J522" s="188">
        <f ca="1">IFERROR(__xludf.DUMMYFUNCTION("IMPORTRANGE(""https://docs.google.com/spreadsheets/d/1SX6NBoVAgQJ6U1MVXOaj8PK2l7WJ3RER9xtqwdhxkhw/edit?usp=sharing"",""สระแก้ว!J417"")"),0)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IFERROR(__xludf.DUMMYFUNCTION("IMPORTRANGE(""https://docs.google.com/spreadsheets/d/1SX6NBoVAgQJ6U1MVXOaj8PK2l7WJ3RER9xtqwdhxkhw/edit?usp=sharing"",""สระแก้ว!I418"")"),0)</f>
        <v>0</v>
      </c>
      <c r="J523" s="188">
        <f ca="1">IFERROR(__xludf.DUMMYFUNCTION("IMPORTRANGE(""https://docs.google.com/spreadsheets/d/1SX6NBoVAgQJ6U1MVXOaj8PK2l7WJ3RER9xtqwdhxkhw/edit?usp=sharing"",""สระแก้ว!J418"")"),0)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IFERROR(__xludf.DUMMYFUNCTION("IMPORTRANGE(""https://docs.google.com/spreadsheets/d/1SX6NBoVAgQJ6U1MVXOaj8PK2l7WJ3RER9xtqwdhxkhw/edit?usp=sharing"",""สระแก้ว!I419"")"),0)</f>
        <v>0</v>
      </c>
      <c r="J524" s="188">
        <f ca="1">IFERROR(__xludf.DUMMYFUNCTION("IMPORTRANGE(""https://docs.google.com/spreadsheets/d/1SX6NBoVAgQJ6U1MVXOaj8PK2l7WJ3RER9xtqwdhxkhw/edit?usp=sharing"",""สระแก้ว!J419"")"),0)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IFERROR(__xludf.DUMMYFUNCTION("IMPORTRANGE(""https://docs.google.com/spreadsheets/d/1SX6NBoVAgQJ6U1MVXOaj8PK2l7WJ3RER9xtqwdhxkhw/edit?usp=sharing"",""สระแก้ว!I420"")"),0)</f>
        <v>0</v>
      </c>
      <c r="J525" s="284">
        <f ca="1">IFERROR(__xludf.DUMMYFUNCTION("IMPORTRANGE(""https://docs.google.com/spreadsheets/d/1SX6NBoVAgQJ6U1MVXOaj8PK2l7WJ3RER9xtqwdhxkhw/edit?usp=sharing"",""สระแก้ว!J420"")"),0)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IFERROR(__xludf.DUMMYFUNCTION("IMPORTRANGE(""https://docs.google.com/spreadsheets/d/1SX6NBoVAgQJ6U1MVXOaj8PK2l7WJ3RER9xtqwdhxkhw/edit?usp=sharing"",""สระแก้ว!I421"")"),0)</f>
        <v>0</v>
      </c>
      <c r="J526" s="284">
        <f ca="1">IFERROR(__xludf.DUMMYFUNCTION("IMPORTRANGE(""https://docs.google.com/spreadsheets/d/1SX6NBoVAgQJ6U1MVXOaj8PK2l7WJ3RER9xtqwdhxkhw/edit?usp=sharing"",""สระแก้ว!J421"")"),0)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IFERROR(__xludf.DUMMYFUNCTION("IMPORTRANGE(""https://docs.google.com/spreadsheets/d/1SX6NBoVAgQJ6U1MVXOaj8PK2l7WJ3RER9xtqwdhxkhw/edit?usp=sharing"",""สระแก้ว!I422"")"),0)</f>
        <v>0</v>
      </c>
      <c r="J527" s="198">
        <f ca="1">IFERROR(__xludf.DUMMYFUNCTION("IMPORTRANGE(""https://docs.google.com/spreadsheets/d/1SX6NBoVAgQJ6U1MVXOaj8PK2l7WJ3RER9xtqwdhxkhw/edit?usp=sharing"",""สระแก้ว!J422"")"),0)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IFERROR(__xludf.DUMMYFUNCTION("IMPORTRANGE(""https://docs.google.com/spreadsheets/d/1SX6NBoVAgQJ6U1MVXOaj8PK2l7WJ3RER9xtqwdhxkhw/edit?usp=sharing"",""สระแก้ว!I423"")"),0)</f>
        <v>0</v>
      </c>
      <c r="J528" s="198">
        <f ca="1">IFERROR(__xludf.DUMMYFUNCTION("IMPORTRANGE(""https://docs.google.com/spreadsheets/d/1SX6NBoVAgQJ6U1MVXOaj8PK2l7WJ3RER9xtqwdhxkhw/edit?usp=sharing"",""สระแก้ว!J423"")"),0)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IFERROR(__xludf.DUMMYFUNCTION("IMPORTRANGE(""https://docs.google.com/spreadsheets/d/1SX6NBoVAgQJ6U1MVXOaj8PK2l7WJ3RER9xtqwdhxkhw/edit?usp=sharing"",""สระแก้ว!I424"")"),0)</f>
        <v>0</v>
      </c>
      <c r="J529" s="198">
        <f ca="1">IFERROR(__xludf.DUMMYFUNCTION("IMPORTRANGE(""https://docs.google.com/spreadsheets/d/1SX6NBoVAgQJ6U1MVXOaj8PK2l7WJ3RER9xtqwdhxkhw/edit?usp=sharing"",""สระแก้ว!J424"")"),0)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IFERROR(__xludf.DUMMYFUNCTION("IMPORTRANGE(""https://docs.google.com/spreadsheets/d/1SX6NBoVAgQJ6U1MVXOaj8PK2l7WJ3RER9xtqwdhxkhw/edit?usp=sharing"",""สระแก้ว!I425"")"),0)</f>
        <v>0</v>
      </c>
      <c r="J530" s="198">
        <f ca="1">IFERROR(__xludf.DUMMYFUNCTION("IMPORTRANGE(""https://docs.google.com/spreadsheets/d/1SX6NBoVAgQJ6U1MVXOaj8PK2l7WJ3RER9xtqwdhxkhw/edit?usp=sharing"",""สระแก้ว!J425"")"),0)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IFERROR(__xludf.DUMMYFUNCTION("IMPORTRANGE(""https://docs.google.com/spreadsheets/d/1SX6NBoVAgQJ6U1MVXOaj8PK2l7WJ3RER9xtqwdhxkhw/edit?usp=sharing"",""สระแก้ว!I426"")"),0)</f>
        <v>0</v>
      </c>
      <c r="J531" s="198">
        <f ca="1">IFERROR(__xludf.DUMMYFUNCTION("IMPORTRANGE(""https://docs.google.com/spreadsheets/d/1SX6NBoVAgQJ6U1MVXOaj8PK2l7WJ3RER9xtqwdhxkhw/edit?usp=sharing"",""สระแก้ว!J426"")"),0)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IFERROR(__xludf.DUMMYFUNCTION("IMPORTRANGE(""https://docs.google.com/spreadsheets/d/1SX6NBoVAgQJ6U1MVXOaj8PK2l7WJ3RER9xtqwdhxkhw/edit?usp=sharing"",""สระแก้ว!I427"")"),0)</f>
        <v>0</v>
      </c>
      <c r="J532" s="466">
        <f ca="1">IFERROR(__xludf.DUMMYFUNCTION("IMPORTRANGE(""https://docs.google.com/spreadsheets/d/1SX6NBoVAgQJ6U1MVXOaj8PK2l7WJ3RER9xtqwdhxkhw/edit?usp=sharing"",""สระแก้ว!J427"")"),0)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IFERROR(__xludf.DUMMYFUNCTION("IMPORTRANGE(""https://docs.google.com/spreadsheets/d/1SX6NBoVAgQJ6U1MVXOaj8PK2l7WJ3RER9xtqwdhxkhw/edit?usp=sharing"",""สระแก้ว!I428"")"),22)</f>
        <v>22</v>
      </c>
      <c r="J533" s="410">
        <f ca="1">IFERROR(__xludf.DUMMYFUNCTION("IMPORTRANGE(""https://docs.google.com/spreadsheets/d/1SX6NBoVAgQJ6U1MVXOaj8PK2l7WJ3RER9xtqwdhxkhw/edit?usp=sharing"",""สระแก้ว!J428"")"),22)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IFERROR(__xludf.DUMMYFUNCTION("IMPORTRANGE(""https://docs.google.com/spreadsheets/d/1SX6NBoVAgQJ6U1MVXOaj8PK2l7WJ3RER9xtqwdhxkhw/edit?usp=sharing"",""สระแก้ว!L428"")"),34340)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IFERROR(__xludf.DUMMYFUNCTION("IMPORTRANGE(""https://docs.google.com/spreadsheets/d/1SX6NBoVAgQJ6U1MVXOaj8PK2l7WJ3RER9xtqwdhxkhw/edit?usp=sharing"",""สระแก้ว!M428"")"),27225)</f>
        <v>27225</v>
      </c>
      <c r="O533" s="412">
        <f t="shared" ref="O533:O537" ca="1" si="118">+IF(L533&gt;0,N533*100/L533,0)</f>
        <v>79.28072218986604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IFERROR(__xludf.DUMMYFUNCTION("IMPORTRANGE(""https://docs.google.com/spreadsheets/d/1SX6NBoVAgQJ6U1MVXOaj8PK2l7WJ3RER9xtqwdhxkhw/edit?usp=sharing"",""สระแก้ว!L429"")"),0)</f>
        <v>0</v>
      </c>
      <c r="M534" s="164"/>
      <c r="N534" s="169">
        <f ca="1">IFERROR(__xludf.DUMMYFUNCTION("IMPORTRANGE(""https://docs.google.com/spreadsheets/d/1SX6NBoVAgQJ6U1MVXOaj8PK2l7WJ3RER9xtqwdhxkhw/edit?usp=sharing"",""สระแก้ว!M429"")"),0)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IFERROR(__xludf.DUMMYFUNCTION("IMPORTRANGE(""https://docs.google.com/spreadsheets/d/1SX6NBoVAgQJ6U1MVXOaj8PK2l7WJ3RER9xtqwdhxkhw/edit?usp=sharing"",""สระแก้ว!L430"")"),34340)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IFERROR(__xludf.DUMMYFUNCTION("IMPORTRANGE(""https://docs.google.com/spreadsheets/d/1SX6NBoVAgQJ6U1MVXOaj8PK2l7WJ3RER9xtqwdhxkhw/edit?usp=sharing"",""สระแก้ว!M430"")"),27225)</f>
        <v>27225</v>
      </c>
      <c r="O535" s="169">
        <f t="shared" ca="1" si="118"/>
        <v>79.28072218986604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IFERROR(__xludf.DUMMYFUNCTION("IMPORTRANGE(""https://docs.google.com/spreadsheets/d/1SX6NBoVAgQJ6U1MVXOaj8PK2l7WJ3RER9xtqwdhxkhw/edit?usp=sharing"",""สระแก้ว!L431"")"),0)</f>
        <v>0</v>
      </c>
      <c r="M536" s="169"/>
      <c r="N536" s="169">
        <f ca="1">IFERROR(__xludf.DUMMYFUNCTION("IMPORTRANGE(""https://docs.google.com/spreadsheets/d/1SX6NBoVAgQJ6U1MVXOaj8PK2l7WJ3RER9xtqwdhxkhw/edit?usp=sharing"",""สระแก้ว!M431"")"),0)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IFERROR(__xludf.DUMMYFUNCTION("IMPORTRANGE(""https://docs.google.com/spreadsheets/d/1SX6NBoVAgQJ6U1MVXOaj8PK2l7WJ3RER9xtqwdhxkhw/edit?usp=sharing"",""สระแก้ว!L432"")"),34340)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IFERROR(__xludf.DUMMYFUNCTION("IMPORTRANGE(""https://docs.google.com/spreadsheets/d/1SX6NBoVAgQJ6U1MVXOaj8PK2l7WJ3RER9xtqwdhxkhw/edit?usp=sharing"",""สระแก้ว!M432"")"),27225)</f>
        <v>27225</v>
      </c>
      <c r="O537" s="169">
        <f t="shared" ca="1" si="118"/>
        <v>79.28072218986604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IFERROR(__xludf.DUMMYFUNCTION("IMPORTRANGE(""https://docs.google.com/spreadsheets/d/1SX6NBoVAgQJ6U1MVXOaj8PK2l7WJ3RER9xtqwdhxkhw/edit?usp=sharing"",""สระแก้ว!M433"")"),17685)</f>
        <v>17685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IFERROR(__xludf.DUMMYFUNCTION("IMPORTRANGE(""https://docs.google.com/spreadsheets/d/1SX6NBoVAgQJ6U1MVXOaj8PK2l7WJ3RER9xtqwdhxkhw/edit?usp=sharing"",""สระแก้ว!M434"")"),0)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IFERROR(__xludf.DUMMYFUNCTION("IMPORTRANGE(""https://docs.google.com/spreadsheets/d/1SX6NBoVAgQJ6U1MVXOaj8PK2l7WJ3RER9xtqwdhxkhw/edit?usp=sharing"",""สระแก้ว!M435"")"),0)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IFERROR(__xludf.DUMMYFUNCTION("IMPORTRANGE(""https://docs.google.com/spreadsheets/d/1SX6NBoVAgQJ6U1MVXOaj8PK2l7WJ3RER9xtqwdhxkhw/edit?usp=sharing"",""สระแก้ว!M436"")"),9540)</f>
        <v>9540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IFERROR(__xludf.DUMMYFUNCTION("IMPORTRANGE(""https://docs.google.com/spreadsheets/d/1SX6NBoVAgQJ6U1MVXOaj8PK2l7WJ3RER9xtqwdhxkhw/edit?usp=sharing"",""สระแก้ว!J438"")"),0)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IFERROR(__xludf.DUMMYFUNCTION("IMPORTRANGE(""https://docs.google.com/spreadsheets/d/1SX6NBoVAgQJ6U1MVXOaj8PK2l7WJ3RER9xtqwdhxkhw/edit?usp=sharing"",""สระแก้ว!J439"")"),1)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IFERROR(__xludf.DUMMYFUNCTION("IMPORTRANGE(""https://docs.google.com/spreadsheets/d/1SX6NBoVAgQJ6U1MVXOaj8PK2l7WJ3RER9xtqwdhxkhw/edit?usp=sharing"",""สระแก้ว!J440"")"),1)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IFERROR(__xludf.DUMMYFUNCTION("IMPORTRANGE(""https://docs.google.com/spreadsheets/d/1SX6NBoVAgQJ6U1MVXOaj8PK2l7WJ3RER9xtqwdhxkhw/edit?usp=sharing"",""สระแก้ว!J441"")"),1)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IFERROR(__xludf.DUMMYFUNCTION("IMPORTRANGE(""https://docs.google.com/spreadsheets/d/1SX6NBoVAgQJ6U1MVXOaj8PK2l7WJ3RER9xtqwdhxkhw/edit?usp=sharing"",""สระแก้ว!I442"")"),22)</f>
        <v>22</v>
      </c>
      <c r="J547" s="189">
        <f ca="1">IFERROR(__xludf.DUMMYFUNCTION("IMPORTRANGE(""https://docs.google.com/spreadsheets/d/1SX6NBoVAgQJ6U1MVXOaj8PK2l7WJ3RER9xtqwdhxkhw/edit?usp=sharing"",""สระแก้ว!J442"")"),22)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IFERROR(__xludf.DUMMYFUNCTION("IMPORTRANGE(""https://docs.google.com/spreadsheets/d/1SX6NBoVAgQJ6U1MVXOaj8PK2l7WJ3RER9xtqwdhxkhw/edit?usp=sharing"",""สระแก้ว!J166"")"),0)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IFERROR(__xludf.DUMMYFUNCTION("IMPORTRANGE(""https://docs.google.com/spreadsheets/d/1SX6NBoVAgQJ6U1MVXOaj8PK2l7WJ3RER9xtqwdhxkhw/edit?usp=sharing"",""สระแก้ว!J444"")"),0)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IFERROR(__xludf.DUMMYFUNCTION("IMPORTRANGE(""https://docs.google.com/spreadsheets/d/1SX6NBoVAgQJ6U1MVXOaj8PK2l7WJ3RER9xtqwdhxkhw/edit?usp=sharing"",""สระแก้ว!J445"")"),0)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IFERROR(__xludf.DUMMYFUNCTION("IMPORTRANGE(""https://docs.google.com/spreadsheets/d/1SX6NBoVAgQJ6U1MVXOaj8PK2l7WJ3RER9xtqwdhxkhw/edit?usp=sharing"",""สระแก้ว!I446"")"),0)</f>
        <v>0</v>
      </c>
      <c r="J551" s="410">
        <f ca="1">IFERROR(__xludf.DUMMYFUNCTION("IMPORTRANGE(""https://docs.google.com/spreadsheets/d/1SX6NBoVAgQJ6U1MVXOaj8PK2l7WJ3RER9xtqwdhxkhw/edit?usp=sharing"",""สระแก้ว!J446"")"),0)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IFERROR(__xludf.DUMMYFUNCTION("IMPORTRANGE(""https://docs.google.com/spreadsheets/d/1SX6NBoVAgQJ6U1MVXOaj8PK2l7WJ3RER9xtqwdhxkhw/edit?usp=sharing"",""สระแก้ว!L446"")"),0)</f>
        <v>0</v>
      </c>
      <c r="M551" s="412"/>
      <c r="N551" s="412">
        <f ca="1">IFERROR(__xludf.DUMMYFUNCTION("IMPORTRANGE(""https://docs.google.com/spreadsheets/d/1SX6NBoVAgQJ6U1MVXOaj8PK2l7WJ3RER9xtqwdhxkhw/edit?usp=sharing"",""สระแก้ว!M446"")"),0)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IFERROR(__xludf.DUMMYFUNCTION("IMPORTRANGE(""https://docs.google.com/spreadsheets/d/1SX6NBoVAgQJ6U1MVXOaj8PK2l7WJ3RER9xtqwdhxkhw/edit?usp=sharing"",""สระแก้ว!L447"")"),0)</f>
        <v>0</v>
      </c>
      <c r="M552" s="164"/>
      <c r="N552" s="169">
        <f ca="1">IFERROR(__xludf.DUMMYFUNCTION("IMPORTRANGE(""https://docs.google.com/spreadsheets/d/1SX6NBoVAgQJ6U1MVXOaj8PK2l7WJ3RER9xtqwdhxkhw/edit?usp=sharing"",""สระแก้ว!M447"")"),0)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IFERROR(__xludf.DUMMYFUNCTION("IMPORTRANGE(""https://docs.google.com/spreadsheets/d/1SX6NBoVAgQJ6U1MVXOaj8PK2l7WJ3RER9xtqwdhxkhw/edit?usp=sharing"",""สระแก้ว!L448"")"),0)</f>
        <v>0</v>
      </c>
      <c r="M553" s="165"/>
      <c r="N553" s="169">
        <f ca="1">IFERROR(__xludf.DUMMYFUNCTION("IMPORTRANGE(""https://docs.google.com/spreadsheets/d/1SX6NBoVAgQJ6U1MVXOaj8PK2l7WJ3RER9xtqwdhxkhw/edit?usp=sharing"",""สระแก้ว!M448"")"),0)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IFERROR(__xludf.DUMMYFUNCTION("IMPORTRANGE(""https://docs.google.com/spreadsheets/d/1SX6NBoVAgQJ6U1MVXOaj8PK2l7WJ3RER9xtqwdhxkhw/edit?usp=sharing"",""สระแก้ว!L449"")"),0)</f>
        <v>0</v>
      </c>
      <c r="M554" s="169"/>
      <c r="N554" s="169">
        <f ca="1">IFERROR(__xludf.DUMMYFUNCTION("IMPORTRANGE(""https://docs.google.com/spreadsheets/d/1SX6NBoVAgQJ6U1MVXOaj8PK2l7WJ3RER9xtqwdhxkhw/edit?usp=sharing"",""สระแก้ว!M449"")"),0)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IFERROR(__xludf.DUMMYFUNCTION("IMPORTRANGE(""https://docs.google.com/spreadsheets/d/1SX6NBoVAgQJ6U1MVXOaj8PK2l7WJ3RER9xtqwdhxkhw/edit?usp=sharing"",""สระแก้ว!L450"")"),0)</f>
        <v>0</v>
      </c>
      <c r="M555" s="169"/>
      <c r="N555" s="169">
        <f ca="1">IFERROR(__xludf.DUMMYFUNCTION("IMPORTRANGE(""https://docs.google.com/spreadsheets/d/1SX6NBoVAgQJ6U1MVXOaj8PK2l7WJ3RER9xtqwdhxkhw/edit?usp=sharing"",""สระแก้ว!M450"")"),0)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IFERROR(__xludf.DUMMYFUNCTION("IMPORTRANGE(""https://docs.google.com/spreadsheets/d/1SX6NBoVAgQJ6U1MVXOaj8PK2l7WJ3RER9xtqwdhxkhw/edit?usp=sharing"",""สระแก้ว!M451"")"),0)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IFERROR(__xludf.DUMMYFUNCTION("IMPORTRANGE(""https://docs.google.com/spreadsheets/d/1SX6NBoVAgQJ6U1MVXOaj8PK2l7WJ3RER9xtqwdhxkhw/edit?usp=sharing"",""สระแก้ว!M452"")"),0)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IFERROR(__xludf.DUMMYFUNCTION("IMPORTRANGE(""https://docs.google.com/spreadsheets/d/1SX6NBoVAgQJ6U1MVXOaj8PK2l7WJ3RER9xtqwdhxkhw/edit?usp=sharing"",""สระแก้ว!M453"")"),0)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IFERROR(__xludf.DUMMYFUNCTION("IMPORTRANGE(""https://docs.google.com/spreadsheets/d/1SX6NBoVAgQJ6U1MVXOaj8PK2l7WJ3RER9xtqwdhxkhw/edit?usp=sharing"",""สระแก้ว!M454"")"),0)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IFERROR(__xludf.DUMMYFUNCTION("IMPORTRANGE(""https://docs.google.com/spreadsheets/d/1SX6NBoVAgQJ6U1MVXOaj8PK2l7WJ3RER9xtqwdhxkhw/edit?usp=sharing"",""สระแก้ว!I455"")"),0)</f>
        <v>0</v>
      </c>
      <c r="J560" s="162">
        <f ca="1">IFERROR(__xludf.DUMMYFUNCTION("IMPORTRANGE(""https://docs.google.com/spreadsheets/d/1SX6NBoVAgQJ6U1MVXOaj8PK2l7WJ3RER9xtqwdhxkhw/edit?usp=sharing"",""สระแก้ว!J455"")"),0)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IFERROR(__xludf.DUMMYFUNCTION("IMPORTRANGE(""https://docs.google.com/spreadsheets/d/1SX6NBoVAgQJ6U1MVXOaj8PK2l7WJ3RER9xtqwdhxkhw/edit?usp=sharing"",""สระแก้ว!I456"")"),0)</f>
        <v>0</v>
      </c>
      <c r="J561" s="204">
        <f ca="1">IFERROR(__xludf.DUMMYFUNCTION("IMPORTRANGE(""https://docs.google.com/spreadsheets/d/1SX6NBoVAgQJ6U1MVXOaj8PK2l7WJ3RER9xtqwdhxkhw/edit?usp=sharing"",""สระแก้ว!J456"")"),0)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IFERROR(__xludf.DUMMYFUNCTION("IMPORTRANGE(""https://docs.google.com/spreadsheets/d/1SX6NBoVAgQJ6U1MVXOaj8PK2l7WJ3RER9xtqwdhxkhw/edit?usp=sharing"",""สระแก้ว!I459"")"),3950)</f>
        <v>3950</v>
      </c>
      <c r="J564" s="371">
        <f ca="1">IFERROR(__xludf.DUMMYFUNCTION("IMPORTRANGE(""https://docs.google.com/spreadsheets/d/1SX6NBoVAgQJ6U1MVXOaj8PK2l7WJ3RER9xtqwdhxkhw/edit?usp=sharing"",""สระแก้ว!J459"")"),5497)</f>
        <v>5497</v>
      </c>
      <c r="K564" s="372">
        <f ca="1">IF(I564&gt;0,J564*100/I564,0)</f>
        <v>139.16455696202533</v>
      </c>
      <c r="L564" s="373">
        <f ca="1">IFERROR(__xludf.DUMMYFUNCTION("IMPORTRANGE(""https://docs.google.com/spreadsheets/d/1SX6NBoVAgQJ6U1MVXOaj8PK2l7WJ3RER9xtqwdhxkhw/edit?usp=sharing"",""สระแก้ว!L459"")"),165600)</f>
        <v>165600</v>
      </c>
      <c r="M564" s="373"/>
      <c r="N564" s="373">
        <f ca="1">IFERROR(__xludf.DUMMYFUNCTION("IMPORTRANGE(""https://docs.google.com/spreadsheets/d/1SX6NBoVAgQJ6U1MVXOaj8PK2l7WJ3RER9xtqwdhxkhw/edit?usp=sharing"",""สระแก้ว!M459"")"),73585)</f>
        <v>73585</v>
      </c>
      <c r="O564" s="373">
        <f t="shared" ref="O564:O568" ca="1" si="122">+IF(L564&gt;0,N564*100/L564,0)</f>
        <v>44.435386473429951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IFERROR(__xludf.DUMMYFUNCTION("IMPORTRANGE(""https://docs.google.com/spreadsheets/d/1SX6NBoVAgQJ6U1MVXOaj8PK2l7WJ3RER9xtqwdhxkhw/edit?usp=sharing"",""สระแก้ว!L460"")"),0)</f>
        <v>0</v>
      </c>
      <c r="M565" s="164"/>
      <c r="N565" s="169">
        <f ca="1">IFERROR(__xludf.DUMMYFUNCTION("IMPORTRANGE(""https://docs.google.com/spreadsheets/d/1SX6NBoVAgQJ6U1MVXOaj8PK2l7WJ3RER9xtqwdhxkhw/edit?usp=sharing"",""สระแก้ว!M460"")"),0)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IFERROR(__xludf.DUMMYFUNCTION("IMPORTRANGE(""https://docs.google.com/spreadsheets/d/1SX6NBoVAgQJ6U1MVXOaj8PK2l7WJ3RER9xtqwdhxkhw/edit?usp=sharing"",""สระแก้ว!L461"")"),165600)</f>
        <v>165600</v>
      </c>
      <c r="M566" s="165"/>
      <c r="N566" s="169">
        <f ca="1">IFERROR(__xludf.DUMMYFUNCTION("IMPORTRANGE(""https://docs.google.com/spreadsheets/d/1SX6NBoVAgQJ6U1MVXOaj8PK2l7WJ3RER9xtqwdhxkhw/edit?usp=sharing"",""สระแก้ว!M461"")"),73585)</f>
        <v>73585</v>
      </c>
      <c r="O566" s="169">
        <f t="shared" ca="1" si="122"/>
        <v>44.435386473429951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IFERROR(__xludf.DUMMYFUNCTION("IMPORTRANGE(""https://docs.google.com/spreadsheets/d/1SX6NBoVAgQJ6U1MVXOaj8PK2l7WJ3RER9xtqwdhxkhw/edit?usp=sharing"",""สระแก้ว!L462"")"),0)</f>
        <v>0</v>
      </c>
      <c r="M567" s="169"/>
      <c r="N567" s="169">
        <f ca="1">IFERROR(__xludf.DUMMYFUNCTION("IMPORTRANGE(""https://docs.google.com/spreadsheets/d/1SX6NBoVAgQJ6U1MVXOaj8PK2l7WJ3RER9xtqwdhxkhw/edit?usp=sharing"",""สระแก้ว!M462"")"),0)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IFERROR(__xludf.DUMMYFUNCTION("IMPORTRANGE(""https://docs.google.com/spreadsheets/d/1SX6NBoVAgQJ6U1MVXOaj8PK2l7WJ3RER9xtqwdhxkhw/edit?usp=sharing"",""สระแก้ว!L463"")"),165600)</f>
        <v>165600</v>
      </c>
      <c r="M568" s="169"/>
      <c r="N568" s="169">
        <f ca="1">IFERROR(__xludf.DUMMYFUNCTION("IMPORTRANGE(""https://docs.google.com/spreadsheets/d/1SX6NBoVAgQJ6U1MVXOaj8PK2l7WJ3RER9xtqwdhxkhw/edit?usp=sharing"",""สระแก้ว!M463"")"),73585)</f>
        <v>73585</v>
      </c>
      <c r="O568" s="169">
        <f t="shared" ca="1" si="122"/>
        <v>44.435386473429951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IFERROR(__xludf.DUMMYFUNCTION("IMPORTRANGE(""https://docs.google.com/spreadsheets/d/1SX6NBoVAgQJ6U1MVXOaj8PK2l7WJ3RER9xtqwdhxkhw/edit?usp=sharing"",""สระแก้ว!M464"")"),0)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IFERROR(__xludf.DUMMYFUNCTION("IMPORTRANGE(""https://docs.google.com/spreadsheets/d/1SX6NBoVAgQJ6U1MVXOaj8PK2l7WJ3RER9xtqwdhxkhw/edit?usp=sharing"",""สระแก้ว!M465"")"),0)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IFERROR(__xludf.DUMMYFUNCTION("IMPORTRANGE(""https://docs.google.com/spreadsheets/d/1SX6NBoVAgQJ6U1MVXOaj8PK2l7WJ3RER9xtqwdhxkhw/edit?usp=sharing"",""สระแก้ว!M466"")"),44000)</f>
        <v>44000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IFERROR(__xludf.DUMMYFUNCTION("IMPORTRANGE(""https://docs.google.com/spreadsheets/d/1SX6NBoVAgQJ6U1MVXOaj8PK2l7WJ3RER9xtqwdhxkhw/edit?usp=sharing"",""สระแก้ว!M467"")"),29585)</f>
        <v>29585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IFERROR(__xludf.DUMMYFUNCTION("IMPORTRANGE(""https://docs.google.com/spreadsheets/d/1SX6NBoVAgQJ6U1MVXOaj8PK2l7WJ3RER9xtqwdhxkhw/edit?usp=sharing"",""สระแก้ว!I468"")"),3950)</f>
        <v>3950</v>
      </c>
      <c r="J573" s="420">
        <f ca="1">IFERROR(__xludf.DUMMYFUNCTION("IMPORTRANGE(""https://docs.google.com/spreadsheets/d/1SX6NBoVAgQJ6U1MVXOaj8PK2l7WJ3RER9xtqwdhxkhw/edit?usp=sharing"",""สระแก้ว!J468"")"),5497)</f>
        <v>5497</v>
      </c>
      <c r="K573" s="202">
        <f ca="1">IF(I573&gt;0,J573*100/I573,0)</f>
        <v>139.16455696202533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IFERROR(__xludf.DUMMYFUNCTION("IMPORTRANGE(""https://docs.google.com/spreadsheets/d/1SX6NBoVAgQJ6U1MVXOaj8PK2l7WJ3RER9xtqwdhxkhw/edit?usp=sharing"",""สระแก้ว!I470"")"),0)</f>
        <v>0</v>
      </c>
      <c r="J575" s="198">
        <f ca="1">IFERROR(__xludf.DUMMYFUNCTION("IMPORTRANGE(""https://docs.google.com/spreadsheets/d/1SX6NBoVAgQJ6U1MVXOaj8PK2l7WJ3RER9xtqwdhxkhw/edit?usp=sharing"",""สระแก้ว!J470"")"),5)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IFERROR(__xludf.DUMMYFUNCTION("IMPORTRANGE(""https://docs.google.com/spreadsheets/d/1SX6NBoVAgQJ6U1MVXOaj8PK2l7WJ3RER9xtqwdhxkhw/edit?usp=sharing"",""สระแก้ว!I471"")"),0)</f>
        <v>0</v>
      </c>
      <c r="J576" s="198">
        <f ca="1">IFERROR(__xludf.DUMMYFUNCTION("IMPORTRANGE(""https://docs.google.com/spreadsheets/d/1SX6NBoVAgQJ6U1MVXOaj8PK2l7WJ3RER9xtqwdhxkhw/edit?usp=sharing"",""สระแก้ว!J471"")"),142)</f>
        <v>142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IFERROR(__xludf.DUMMYFUNCTION("IMPORTRANGE(""https://docs.google.com/spreadsheets/d/1SX6NBoVAgQJ6U1MVXOaj8PK2l7WJ3RER9xtqwdhxkhw/edit?usp=sharing"",""สระแก้ว!I472"")"),0)</f>
        <v>0</v>
      </c>
      <c r="J577" s="189">
        <f ca="1">IFERROR(__xludf.DUMMYFUNCTION("IMPORTRANGE(""https://docs.google.com/spreadsheets/d/1SX6NBoVAgQJ6U1MVXOaj8PK2l7WJ3RER9xtqwdhxkhw/edit?usp=sharing"",""สระแก้ว!J472"")"),5355)</f>
        <v>5355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IFERROR(__xludf.DUMMYFUNCTION("IMPORTRANGE(""https://docs.google.com/spreadsheets/d/1SX6NBoVAgQJ6U1MVXOaj8PK2l7WJ3RER9xtqwdhxkhw/edit?usp=sharing"",""สระแก้ว!I473"")"),0)</f>
        <v>0</v>
      </c>
      <c r="J578" s="198">
        <f ca="1">IFERROR(__xludf.DUMMYFUNCTION("IMPORTRANGE(""https://docs.google.com/spreadsheets/d/1SX6NBoVAgQJ6U1MVXOaj8PK2l7WJ3RER9xtqwdhxkhw/edit?usp=sharing"",""สระแก้ว!J473"")"),0)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IFERROR(__xludf.DUMMYFUNCTION("IMPORTRANGE(""https://docs.google.com/spreadsheets/d/1SX6NBoVAgQJ6U1MVXOaj8PK2l7WJ3RER9xtqwdhxkhw/edit?usp=sharing"",""สระแก้ว!I474"")"),0)</f>
        <v>0</v>
      </c>
      <c r="J579" s="198">
        <f ca="1">IFERROR(__xludf.DUMMYFUNCTION("IMPORTRANGE(""https://docs.google.com/spreadsheets/d/1SX6NBoVAgQJ6U1MVXOaj8PK2l7WJ3RER9xtqwdhxkhw/edit?usp=sharing"",""สระแก้ว!J474"")"),0)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IFERROR(__xludf.DUMMYFUNCTION("IMPORTRANGE(""https://docs.google.com/spreadsheets/d/1SX6NBoVAgQJ6U1MVXOaj8PK2l7WJ3RER9xtqwdhxkhw/edit?usp=sharing"",""สระแก้ว!I475"")"),213)</f>
        <v>213</v>
      </c>
      <c r="J580" s="371">
        <f ca="1">IFERROR(__xludf.DUMMYFUNCTION("IMPORTRANGE(""https://docs.google.com/spreadsheets/d/1SX6NBoVAgQJ6U1MVXOaj8PK2l7WJ3RER9xtqwdhxkhw/edit?usp=sharing"",""สระแก้ว!J475"")"),0)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IFERROR(__xludf.DUMMYFUNCTION("IMPORTRANGE(""https://docs.google.com/spreadsheets/d/1SX6NBoVAgQJ6U1MVXOaj8PK2l7WJ3RER9xtqwdhxkhw/edit?usp=sharing"",""สระแก้ว!L475"")"),370563)</f>
        <v>370563</v>
      </c>
      <c r="M580" s="373"/>
      <c r="N580" s="373">
        <f ca="1">IFERROR(__xludf.DUMMYFUNCTION("IMPORTRANGE(""https://docs.google.com/spreadsheets/d/1SX6NBoVAgQJ6U1MVXOaj8PK2l7WJ3RER9xtqwdhxkhw/edit?usp=sharing"",""สระแก้ว!M475"")"),69330.91)</f>
        <v>69330.91</v>
      </c>
      <c r="O580" s="373">
        <f t="shared" ref="O580:O584" ca="1" si="124">+IF(L580&gt;0,N580*100/L580,0)</f>
        <v>18.709614829327268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IFERROR(__xludf.DUMMYFUNCTION("IMPORTRANGE(""https://docs.google.com/spreadsheets/d/1SX6NBoVAgQJ6U1MVXOaj8PK2l7WJ3RER9xtqwdhxkhw/edit?usp=sharing"",""สระแก้ว!L476"")"),0)</f>
        <v>0</v>
      </c>
      <c r="M581" s="164"/>
      <c r="N581" s="169">
        <f ca="1">IFERROR(__xludf.DUMMYFUNCTION("IMPORTRANGE(""https://docs.google.com/spreadsheets/d/1SX6NBoVAgQJ6U1MVXOaj8PK2l7WJ3RER9xtqwdhxkhw/edit?usp=sharing"",""สระแก้ว!M476"")"),0)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IFERROR(__xludf.DUMMYFUNCTION("IMPORTRANGE(""https://docs.google.com/spreadsheets/d/1SX6NBoVAgQJ6U1MVXOaj8PK2l7WJ3RER9xtqwdhxkhw/edit?usp=sharing"",""สระแก้ว!L477"")"),370563)</f>
        <v>370563</v>
      </c>
      <c r="M582" s="165"/>
      <c r="N582" s="169">
        <f ca="1">IFERROR(__xludf.DUMMYFUNCTION("IMPORTRANGE(""https://docs.google.com/spreadsheets/d/1SX6NBoVAgQJ6U1MVXOaj8PK2l7WJ3RER9xtqwdhxkhw/edit?usp=sharing"",""สระแก้ว!M477"")"),69330.91)</f>
        <v>69330.91</v>
      </c>
      <c r="O582" s="169">
        <f t="shared" ca="1" si="124"/>
        <v>18.709614829327268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IFERROR(__xludf.DUMMYFUNCTION("IMPORTRANGE(""https://docs.google.com/spreadsheets/d/1SX6NBoVAgQJ6U1MVXOaj8PK2l7WJ3RER9xtqwdhxkhw/edit?usp=sharing"",""สระแก้ว!L478"")"),0)</f>
        <v>0</v>
      </c>
      <c r="M583" s="169"/>
      <c r="N583" s="169">
        <f ca="1">IFERROR(__xludf.DUMMYFUNCTION("IMPORTRANGE(""https://docs.google.com/spreadsheets/d/1SX6NBoVAgQJ6U1MVXOaj8PK2l7WJ3RER9xtqwdhxkhw/edit?usp=sharing"",""สระแก้ว!M478"")"),0)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IFERROR(__xludf.DUMMYFUNCTION("IMPORTRANGE(""https://docs.google.com/spreadsheets/d/1SX6NBoVAgQJ6U1MVXOaj8PK2l7WJ3RER9xtqwdhxkhw/edit?usp=sharing"",""สระแก้ว!L479"")"),370563)</f>
        <v>370563</v>
      </c>
      <c r="M584" s="169"/>
      <c r="N584" s="169">
        <f ca="1">IFERROR(__xludf.DUMMYFUNCTION("IMPORTRANGE(""https://docs.google.com/spreadsheets/d/1SX6NBoVAgQJ6U1MVXOaj8PK2l7WJ3RER9xtqwdhxkhw/edit?usp=sharing"",""สระแก้ว!M479"")"),69330.91)</f>
        <v>69330.91</v>
      </c>
      <c r="O584" s="169">
        <f t="shared" ca="1" si="124"/>
        <v>18.709614829327268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IFERROR(__xludf.DUMMYFUNCTION("IMPORTRANGE(""https://docs.google.com/spreadsheets/d/1SX6NBoVAgQJ6U1MVXOaj8PK2l7WJ3RER9xtqwdhxkhw/edit?usp=sharing"",""สระแก้ว!M480"")"),0)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IFERROR(__xludf.DUMMYFUNCTION("IMPORTRANGE(""https://docs.google.com/spreadsheets/d/1SX6NBoVAgQJ6U1MVXOaj8PK2l7WJ3RER9xtqwdhxkhw/edit?usp=sharing"",""สระแก้ว!M481"")"),0)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IFERROR(__xludf.DUMMYFUNCTION("IMPORTRANGE(""https://docs.google.com/spreadsheets/d/1SX6NBoVAgQJ6U1MVXOaj8PK2l7WJ3RER9xtqwdhxkhw/edit?usp=sharing"",""สระแก้ว!M482"")"),49410.91)</f>
        <v>49410.91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IFERROR(__xludf.DUMMYFUNCTION("IMPORTRANGE(""https://docs.google.com/spreadsheets/d/1SX6NBoVAgQJ6U1MVXOaj8PK2l7WJ3RER9xtqwdhxkhw/edit?usp=sharing"",""สระแก้ว!M483"")"),19920)</f>
        <v>19920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IFERROR(__xludf.DUMMYFUNCTION("IMPORTRANGE(""https://docs.google.com/spreadsheets/d/1SX6NBoVAgQJ6U1MVXOaj8PK2l7WJ3RER9xtqwdhxkhw/edit?usp=sharing"",""สระแก้ว!I484"")"),213)</f>
        <v>213</v>
      </c>
      <c r="J589" s="188">
        <f ca="1">IFERROR(__xludf.DUMMYFUNCTION("IMPORTRANGE(""https://docs.google.com/spreadsheets/d/1SX6NBoVAgQJ6U1MVXOaj8PK2l7WJ3RER9xtqwdhxkhw/edit?usp=sharing"",""สระแก้ว!J484"")"),0)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IFERROR(__xludf.DUMMYFUNCTION("IMPORTRANGE(""https://docs.google.com/spreadsheets/d/1SX6NBoVAgQJ6U1MVXOaj8PK2l7WJ3RER9xtqwdhxkhw/edit?usp=sharing"",""สระแก้ว!I485"")"),0)</f>
        <v>0</v>
      </c>
      <c r="J590" s="188">
        <f ca="1">IFERROR(__xludf.DUMMYFUNCTION("IMPORTRANGE(""https://docs.google.com/spreadsheets/d/1SX6NBoVAgQJ6U1MVXOaj8PK2l7WJ3RER9xtqwdhxkhw/edit?usp=sharing"",""สระแก้ว!J485"")"),0)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IFERROR(__xludf.DUMMYFUNCTION("IMPORTRANGE(""https://docs.google.com/spreadsheets/d/1SX6NBoVAgQJ6U1MVXOaj8PK2l7WJ3RER9xtqwdhxkhw/edit?usp=sharing"",""สระแก้ว!I486"")"),213)</f>
        <v>213</v>
      </c>
      <c r="J591" s="188">
        <f ca="1">IFERROR(__xludf.DUMMYFUNCTION("IMPORTRANGE(""https://docs.google.com/spreadsheets/d/1SX6NBoVAgQJ6U1MVXOaj8PK2l7WJ3RER9xtqwdhxkhw/edit?usp=sharing"",""สระแก้ว!J486"")"),0)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IFERROR(__xludf.DUMMYFUNCTION("IMPORTRANGE(""https://docs.google.com/spreadsheets/d/1SX6NBoVAgQJ6U1MVXOaj8PK2l7WJ3RER9xtqwdhxkhw/edit?usp=sharing"",""สระแก้ว!I487"")"),0)</f>
        <v>0</v>
      </c>
      <c r="J592" s="188">
        <f ca="1">IFERROR(__xludf.DUMMYFUNCTION("IMPORTRANGE(""https://docs.google.com/spreadsheets/d/1SX6NBoVAgQJ6U1MVXOaj8PK2l7WJ3RER9xtqwdhxkhw/edit?usp=sharing"",""สระแก้ว!J487"")"),0)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IFERROR(__xludf.DUMMYFUNCTION("IMPORTRANGE(""https://docs.google.com/spreadsheets/d/1SX6NBoVAgQJ6U1MVXOaj8PK2l7WJ3RER9xtqwdhxkhw/edit?usp=sharing"",""สระแก้ว!I488"")"),213)</f>
        <v>213</v>
      </c>
      <c r="J593" s="188">
        <f ca="1">IFERROR(__xludf.DUMMYFUNCTION("IMPORTRANGE(""https://docs.google.com/spreadsheets/d/1SX6NBoVAgQJ6U1MVXOaj8PK2l7WJ3RER9xtqwdhxkhw/edit?usp=sharing"",""สระแก้ว!J488"")"),0)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IFERROR(__xludf.DUMMYFUNCTION("IMPORTRANGE(""https://docs.google.com/spreadsheets/d/1SX6NBoVAgQJ6U1MVXOaj8PK2l7WJ3RER9xtqwdhxkhw/edit?usp=sharing"",""สระแก้ว!I489"")"),0)</f>
        <v>0</v>
      </c>
      <c r="J594" s="188">
        <f ca="1">IFERROR(__xludf.DUMMYFUNCTION("IMPORTRANGE(""https://docs.google.com/spreadsheets/d/1SX6NBoVAgQJ6U1MVXOaj8PK2l7WJ3RER9xtqwdhxkhw/edit?usp=sharing"",""สระแก้ว!J489"")"),0)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IFERROR(__xludf.DUMMYFUNCTION("IMPORTRANGE(""https://docs.google.com/spreadsheets/d/1SX6NBoVAgQJ6U1MVXOaj8PK2l7WJ3RER9xtqwdhxkhw/edit?usp=sharing"",""สระแก้ว!I490"")"),213)</f>
        <v>213</v>
      </c>
      <c r="J595" s="188">
        <f ca="1">IFERROR(__xludf.DUMMYFUNCTION("IMPORTRANGE(""https://docs.google.com/spreadsheets/d/1SX6NBoVAgQJ6U1MVXOaj8PK2l7WJ3RER9xtqwdhxkhw/edit?usp=sharing"",""สระแก้ว!J490"")"),0)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IFERROR(__xludf.DUMMYFUNCTION("IMPORTRANGE(""https://docs.google.com/spreadsheets/d/1SX6NBoVAgQJ6U1MVXOaj8PK2l7WJ3RER9xtqwdhxkhw/edit?usp=sharing"",""สระแก้ว!I491"")"),0)</f>
        <v>0</v>
      </c>
      <c r="J596" s="241">
        <f ca="1">IFERROR(__xludf.DUMMYFUNCTION("IMPORTRANGE(""https://docs.google.com/spreadsheets/d/1SX6NBoVAgQJ6U1MVXOaj8PK2l7WJ3RER9xtqwdhxkhw/edit?usp=sharing"",""สระแก้ว!J491"")"),0)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IFERROR(__xludf.DUMMYFUNCTION("IMPORTRANGE(""https://docs.google.com/spreadsheets/d/1SX6NBoVAgQJ6U1MVXOaj8PK2l7WJ3RER9xtqwdhxkhw/edit?usp=sharing"",""สระแก้ว!I492"")"),100)</f>
        <v>100</v>
      </c>
      <c r="J597" s="487">
        <f ca="1">IFERROR(__xludf.DUMMYFUNCTION("IMPORTRANGE(""https://docs.google.com/spreadsheets/d/1SX6NBoVAgQJ6U1MVXOaj8PK2l7WJ3RER9xtqwdhxkhw/edit?usp=sharing"",""สระแก้ว!J492"")"),0)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IFERROR(__xludf.DUMMYFUNCTION("IMPORTRANGE(""https://docs.google.com/spreadsheets/d/1SX6NBoVAgQJ6U1MVXOaj8PK2l7WJ3RER9xtqwdhxkhw/edit?usp=sharing"",""สระแก้ว!L492"")"),12900)</f>
        <v>12900</v>
      </c>
      <c r="M597" s="412"/>
      <c r="N597" s="412">
        <f ca="1">IFERROR(__xludf.DUMMYFUNCTION("IMPORTRANGE(""https://docs.google.com/spreadsheets/d/1SX6NBoVAgQJ6U1MVXOaj8PK2l7WJ3RER9xtqwdhxkhw/edit?usp=sharing"",""สระแก้ว!M492"")"),7400)</f>
        <v>7400</v>
      </c>
      <c r="O597" s="412">
        <f t="shared" ref="O597:O601" ca="1" si="126">+IF(L597&gt;0,N597*100/L597,0)</f>
        <v>57.36434108527132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IFERROR(__xludf.DUMMYFUNCTION("IMPORTRANGE(""https://docs.google.com/spreadsheets/d/1SX6NBoVAgQJ6U1MVXOaj8PK2l7WJ3RER9xtqwdhxkhw/edit?usp=sharing"",""สระแก้ว!L493"")"),0)</f>
        <v>0</v>
      </c>
      <c r="M598" s="164"/>
      <c r="N598" s="169">
        <f ca="1">IFERROR(__xludf.DUMMYFUNCTION("IMPORTRANGE(""https://docs.google.com/spreadsheets/d/1SX6NBoVAgQJ6U1MVXOaj8PK2l7WJ3RER9xtqwdhxkhw/edit?usp=sharing"",""สระแก้ว!M493"")"),0)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IFERROR(__xludf.DUMMYFUNCTION("IMPORTRANGE(""https://docs.google.com/spreadsheets/d/1SX6NBoVAgQJ6U1MVXOaj8PK2l7WJ3RER9xtqwdhxkhw/edit?usp=sharing"",""สระแก้ว!L494"")"),12900)</f>
        <v>12900</v>
      </c>
      <c r="M599" s="165"/>
      <c r="N599" s="169">
        <f ca="1">IFERROR(__xludf.DUMMYFUNCTION("IMPORTRANGE(""https://docs.google.com/spreadsheets/d/1SX6NBoVAgQJ6U1MVXOaj8PK2l7WJ3RER9xtqwdhxkhw/edit?usp=sharing"",""สระแก้ว!M494"")"),7400)</f>
        <v>7400</v>
      </c>
      <c r="O599" s="169">
        <f t="shared" ca="1" si="126"/>
        <v>57.36434108527132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IFERROR(__xludf.DUMMYFUNCTION("IMPORTRANGE(""https://docs.google.com/spreadsheets/d/1SX6NBoVAgQJ6U1MVXOaj8PK2l7WJ3RER9xtqwdhxkhw/edit?usp=sharing"",""สระแก้ว!L495"")"),0)</f>
        <v>0</v>
      </c>
      <c r="M600" s="169"/>
      <c r="N600" s="169">
        <f ca="1">IFERROR(__xludf.DUMMYFUNCTION("IMPORTRANGE(""https://docs.google.com/spreadsheets/d/1SX6NBoVAgQJ6U1MVXOaj8PK2l7WJ3RER9xtqwdhxkhw/edit?usp=sharing"",""สระแก้ว!M495"")"),0)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IFERROR(__xludf.DUMMYFUNCTION("IMPORTRANGE(""https://docs.google.com/spreadsheets/d/1SX6NBoVAgQJ6U1MVXOaj8PK2l7WJ3RER9xtqwdhxkhw/edit?usp=sharing"",""สระแก้ว!L496"")"),12900)</f>
        <v>12900</v>
      </c>
      <c r="M601" s="169"/>
      <c r="N601" s="169">
        <f ca="1">IFERROR(__xludf.DUMMYFUNCTION("IMPORTRANGE(""https://docs.google.com/spreadsheets/d/1SX6NBoVAgQJ6U1MVXOaj8PK2l7WJ3RER9xtqwdhxkhw/edit?usp=sharing"",""สระแก้ว!M496"")"),7400)</f>
        <v>7400</v>
      </c>
      <c r="O601" s="169">
        <f t="shared" ca="1" si="126"/>
        <v>57.36434108527132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IFERROR(__xludf.DUMMYFUNCTION("IMPORTRANGE(""https://docs.google.com/spreadsheets/d/1SX6NBoVAgQJ6U1MVXOaj8PK2l7WJ3RER9xtqwdhxkhw/edit?usp=sharing"",""สระแก้ว!M497"")"),0)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IFERROR(__xludf.DUMMYFUNCTION("IMPORTRANGE(""https://docs.google.com/spreadsheets/d/1SX6NBoVAgQJ6U1MVXOaj8PK2l7WJ3RER9xtqwdhxkhw/edit?usp=sharing"",""สระแก้ว!M498"")"),0)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IFERROR(__xludf.DUMMYFUNCTION("IMPORTRANGE(""https://docs.google.com/spreadsheets/d/1SX6NBoVAgQJ6U1MVXOaj8PK2l7WJ3RER9xtqwdhxkhw/edit?usp=sharing"",""สระแก้ว!M499"")"),3600)</f>
        <v>3600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IFERROR(__xludf.DUMMYFUNCTION("IMPORTRANGE(""https://docs.google.com/spreadsheets/d/1SX6NBoVAgQJ6U1MVXOaj8PK2l7WJ3RER9xtqwdhxkhw/edit?usp=sharing"",""สระแก้ว!M500"")"),3800)</f>
        <v>3800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IFERROR(__xludf.DUMMYFUNCTION("IMPORTRANGE(""https://docs.google.com/spreadsheets/d/1SX6NBoVAgQJ6U1MVXOaj8PK2l7WJ3RER9xtqwdhxkhw/edit?usp=sharing"",""สระแก้ว!J502"")"),0)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IFERROR(__xludf.DUMMYFUNCTION("IMPORTRANGE(""https://docs.google.com/spreadsheets/d/1SX6NBoVAgQJ6U1MVXOaj8PK2l7WJ3RER9xtqwdhxkhw/edit?usp=sharing"",""สระแก้ว!J503"")"),1)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IFERROR(__xludf.DUMMYFUNCTION("IMPORTRANGE(""https://docs.google.com/spreadsheets/d/1SX6NBoVAgQJ6U1MVXOaj8PK2l7WJ3RER9xtqwdhxkhw/edit?usp=sharing"",""สระแก้ว!J166"")"),0)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IFERROR(__xludf.DUMMYFUNCTION("IMPORTRANGE(""https://docs.google.com/spreadsheets/d/1SX6NBoVAgQJ6U1MVXOaj8PK2l7WJ3RER9xtqwdhxkhw/edit?usp=sharing"",""สระแก้ว!J166"")"),0)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IFERROR(__xludf.DUMMYFUNCTION("IMPORTRANGE(""https://docs.google.com/spreadsheets/d/1SX6NBoVAgQJ6U1MVXOaj8PK2l7WJ3RER9xtqwdhxkhw/edit?usp=sharing"",""สระแก้ว!I506"")"),100)</f>
        <v>100</v>
      </c>
      <c r="J611" s="162">
        <f ca="1">IFERROR(__xludf.DUMMYFUNCTION("IMPORTRANGE(""https://docs.google.com/spreadsheets/d/1SX6NBoVAgQJ6U1MVXOaj8PK2l7WJ3RER9xtqwdhxkhw/edit?usp=sharing"",""สระแก้ว!J506"")"),0)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IFERROR(__xludf.DUMMYFUNCTION("IMPORTRANGE(""https://docs.google.com/spreadsheets/d/1SX6NBoVAgQJ6U1MVXOaj8PK2l7WJ3RER9xtqwdhxkhw/edit?usp=sharing"",""สระแก้ว!I507"")"),0)</f>
        <v>0</v>
      </c>
      <c r="J612" s="198">
        <f ca="1">IFERROR(__xludf.DUMMYFUNCTION("IMPORTRANGE(""https://docs.google.com/spreadsheets/d/1SX6NBoVAgQJ6U1MVXOaj8PK2l7WJ3RER9xtqwdhxkhw/edit?usp=sharing"",""สระแก้ว!J507"")"),199)</f>
        <v>199</v>
      </c>
      <c r="K612" s="163">
        <f t="shared" ca="1" si="127"/>
        <v>199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IFERROR(__xludf.DUMMYFUNCTION("IMPORTRANGE(""https://docs.google.com/spreadsheets/d/1SX6NBoVAgQJ6U1MVXOaj8PK2l7WJ3RER9xtqwdhxkhw/edit?usp=sharing"",""สระแก้ว!I508"")"),0)</f>
        <v>0</v>
      </c>
      <c r="J613" s="198">
        <f ca="1">IFERROR(__xludf.DUMMYFUNCTION("IMPORTRANGE(""https://docs.google.com/spreadsheets/d/1SX6NBoVAgQJ6U1MVXOaj8PK2l7WJ3RER9xtqwdhxkhw/edit?usp=sharing"",""สระแก้ว!J508"")"),199)</f>
        <v>199</v>
      </c>
      <c r="K613" s="163">
        <f t="shared" ca="1" si="127"/>
        <v>199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IFERROR(__xludf.DUMMYFUNCTION("IMPORTRANGE(""https://docs.google.com/spreadsheets/d/1SX6NBoVAgQJ6U1MVXOaj8PK2l7WJ3RER9xtqwdhxkhw/edit?usp=sharing"",""สระแก้ว!I509"")"),0)</f>
        <v>0</v>
      </c>
      <c r="J614" s="198">
        <f ca="1">IFERROR(__xludf.DUMMYFUNCTION("IMPORTRANGE(""https://docs.google.com/spreadsheets/d/1SX6NBoVAgQJ6U1MVXOaj8PK2l7WJ3RER9xtqwdhxkhw/edit?usp=sharing"",""สระแก้ว!J509"")"),199)</f>
        <v>199</v>
      </c>
      <c r="K614" s="163">
        <f t="shared" ca="1" si="127"/>
        <v>199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IFERROR(__xludf.DUMMYFUNCTION("IMPORTRANGE(""https://docs.google.com/spreadsheets/d/1SX6NBoVAgQJ6U1MVXOaj8PK2l7WJ3RER9xtqwdhxkhw/edit?usp=sharing"",""สระแก้ว!I510"")"),0)</f>
        <v>0</v>
      </c>
      <c r="J615" s="198">
        <f ca="1">IFERROR(__xludf.DUMMYFUNCTION("IMPORTRANGE(""https://docs.google.com/spreadsheets/d/1SX6NBoVAgQJ6U1MVXOaj8PK2l7WJ3RER9xtqwdhxkhw/edit?usp=sharing"",""สระแก้ว!J510"")"),199)</f>
        <v>199</v>
      </c>
      <c r="K615" s="163">
        <f t="shared" ca="1" si="127"/>
        <v>199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IFERROR(__xludf.DUMMYFUNCTION("IMPORTRANGE(""https://docs.google.com/spreadsheets/d/1SX6NBoVAgQJ6U1MVXOaj8PK2l7WJ3RER9xtqwdhxkhw/edit?usp=sharing"",""สระแก้ว!I511"")"),0)</f>
        <v>0</v>
      </c>
      <c r="J616" s="198">
        <f ca="1">IFERROR(__xludf.DUMMYFUNCTION("IMPORTRANGE(""https://docs.google.com/spreadsheets/d/1SX6NBoVAgQJ6U1MVXOaj8PK2l7WJ3RER9xtqwdhxkhw/edit?usp=sharing"",""สระแก้ว!J511"")"),0)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IFERROR(__xludf.DUMMYFUNCTION("IMPORTRANGE(""https://docs.google.com/spreadsheets/d/1SX6NBoVAgQJ6U1MVXOaj8PK2l7WJ3RER9xtqwdhxkhw/edit?usp=sharing"",""สระแก้ว!I512"")"),0)</f>
        <v>0</v>
      </c>
      <c r="J617" s="188">
        <f ca="1">IFERROR(__xludf.DUMMYFUNCTION("IMPORTRANGE(""https://docs.google.com/spreadsheets/d/1SX6NBoVAgQJ6U1MVXOaj8PK2l7WJ3RER9xtqwdhxkhw/edit?usp=sharing"",""สระแก้ว!J512"")"),0)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IFERROR(__xludf.DUMMYFUNCTION("IMPORTRANGE(""https://docs.google.com/spreadsheets/d/1SX6NBoVAgQJ6U1MVXOaj8PK2l7WJ3RER9xtqwdhxkhw/edit?usp=sharing"",""สระแก้ว!I513"")"),0)</f>
        <v>0</v>
      </c>
      <c r="J618" s="189">
        <f ca="1">IFERROR(__xludf.DUMMYFUNCTION("IMPORTRANGE(""https://docs.google.com/spreadsheets/d/1SX6NBoVAgQJ6U1MVXOaj8PK2l7WJ3RER9xtqwdhxkhw/edit?usp=sharing"",""สระแก้ว!J513"")"),0)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IFERROR(__xludf.DUMMYFUNCTION("IMPORTRANGE(""https://docs.google.com/spreadsheets/d/1SX6NBoVAgQJ6U1MVXOaj8PK2l7WJ3RER9xtqwdhxkhw/edit?usp=sharing"",""สระแก้ว!I514"")"),0)</f>
        <v>0</v>
      </c>
      <c r="J619" s="189">
        <f ca="1">IFERROR(__xludf.DUMMYFUNCTION("IMPORTRANGE(""https://docs.google.com/spreadsheets/d/1SX6NBoVAgQJ6U1MVXOaj8PK2l7WJ3RER9xtqwdhxkhw/edit?usp=sharing"",""สระแก้ว!J514"")"),0)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IFERROR(__xludf.DUMMYFUNCTION("IMPORTRANGE(""https://docs.google.com/spreadsheets/d/1SX6NBoVAgQJ6U1MVXOaj8PK2l7WJ3RER9xtqwdhxkhw/edit?usp=sharing"",""สระแก้ว!I515"")"),0)</f>
        <v>0</v>
      </c>
      <c r="J620" s="203">
        <f ca="1">IFERROR(__xludf.DUMMYFUNCTION("IMPORTRANGE(""https://docs.google.com/spreadsheets/d/1SX6NBoVAgQJ6U1MVXOaj8PK2l7WJ3RER9xtqwdhxkhw/edit?usp=sharing"",""สระแก้ว!J515"")"),0)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IFERROR(__xludf.DUMMYFUNCTION("IMPORTRANGE(""https://docs.google.com/spreadsheets/d/1SX6NBoVAgQJ6U1MVXOaj8PK2l7WJ3RER9xtqwdhxkhw/edit?usp=sharing"",""สระแก้ว!I516"")"),0)</f>
        <v>0</v>
      </c>
      <c r="J621" s="203">
        <f ca="1">IFERROR(__xludf.DUMMYFUNCTION("IMPORTRANGE(""https://docs.google.com/spreadsheets/d/1SX6NBoVAgQJ6U1MVXOaj8PK2l7WJ3RER9xtqwdhxkhw/edit?usp=sharing"",""สระแก้ว!J516"")"),0)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IFERROR(__xludf.DUMMYFUNCTION("IMPORTRANGE(""https://docs.google.com/spreadsheets/d/1SX6NBoVAgQJ6U1MVXOaj8PK2l7WJ3RER9xtqwdhxkhw/edit?usp=sharing"",""สระแก้ว!I517"")"),0)</f>
        <v>0</v>
      </c>
      <c r="J622" s="189">
        <f ca="1">IFERROR(__xludf.DUMMYFUNCTION("IMPORTRANGE(""https://docs.google.com/spreadsheets/d/1SX6NBoVAgQJ6U1MVXOaj8PK2l7WJ3RER9xtqwdhxkhw/edit?usp=sharing"",""สระแก้ว!J517"")"),0)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IFERROR(__xludf.DUMMYFUNCTION("IMPORTRANGE(""https://docs.google.com/spreadsheets/d/1SX6NBoVAgQJ6U1MVXOaj8PK2l7WJ3RER9xtqwdhxkhw/edit?usp=sharing"",""สระแก้ว!I518"")"),0)</f>
        <v>0</v>
      </c>
      <c r="J623" s="189">
        <f ca="1">IFERROR(__xludf.DUMMYFUNCTION("IMPORTRANGE(""https://docs.google.com/spreadsheets/d/1SX6NBoVAgQJ6U1MVXOaj8PK2l7WJ3RER9xtqwdhxkhw/edit?usp=sharing"",""สระแก้ว!J518"")"),0)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IFERROR(__xludf.DUMMYFUNCTION("IMPORTRANGE(""https://docs.google.com/spreadsheets/d/1SX6NBoVAgQJ6U1MVXOaj8PK2l7WJ3RER9xtqwdhxkhw/edit?usp=sharing"",""สระแก้ว!I519"")"),0)</f>
        <v>0</v>
      </c>
      <c r="J624" s="188">
        <f ca="1">IFERROR(__xludf.DUMMYFUNCTION("IMPORTRANGE(""https://docs.google.com/spreadsheets/d/1SX6NBoVAgQJ6U1MVXOaj8PK2l7WJ3RER9xtqwdhxkhw/edit?usp=sharing"",""สระแก้ว!J519"")"),0)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IFERROR(__xludf.DUMMYFUNCTION("IMPORTRANGE(""https://docs.google.com/spreadsheets/d/1SX6NBoVAgQJ6U1MVXOaj8PK2l7WJ3RER9xtqwdhxkhw/edit?usp=sharing"",""สระแก้ว!I520"")"),0)</f>
        <v>0</v>
      </c>
      <c r="J625" s="189">
        <f ca="1">IFERROR(__xludf.DUMMYFUNCTION("IMPORTRANGE(""https://docs.google.com/spreadsheets/d/1SX6NBoVAgQJ6U1MVXOaj8PK2l7WJ3RER9xtqwdhxkhw/edit?usp=sharing"",""สระแก้ว!J520"")"),0)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IFERROR(__xludf.DUMMYFUNCTION("IMPORTRANGE(""https://docs.google.com/spreadsheets/d/1SX6NBoVAgQJ6U1MVXOaj8PK2l7WJ3RER9xtqwdhxkhw/edit?usp=sharing"",""สระแก้ว!I521"")"),0)</f>
        <v>0</v>
      </c>
      <c r="J626" s="189">
        <f ca="1">IFERROR(__xludf.DUMMYFUNCTION("IMPORTRANGE(""https://docs.google.com/spreadsheets/d/1SX6NBoVAgQJ6U1MVXOaj8PK2l7WJ3RER9xtqwdhxkhw/edit?usp=sharing"",""สระแก้ว!J521"")"),0)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IFERROR(__xludf.DUMMYFUNCTION("IMPORTRANGE(""https://docs.google.com/spreadsheets/d/1SX6NBoVAgQJ6U1MVXOaj8PK2l7WJ3RER9xtqwdhxkhw/edit?usp=sharing"",""สระแก้ว!I523"")"),8232665.41)</f>
        <v>8232665.4100000001</v>
      </c>
      <c r="J628" s="341">
        <f ca="1">IFERROR(__xludf.DUMMYFUNCTION("IMPORTRANGE(""https://docs.google.com/spreadsheets/d/1SX6NBoVAgQJ6U1MVXOaj8PK2l7WJ3RER9xtqwdhxkhw/edit?usp=sharing"",""สระแก้ว!J523"")"),5756301.86)</f>
        <v>5756301.8600000003</v>
      </c>
      <c r="K628" s="342">
        <f t="shared" ref="K628:K635" ca="1" si="129">IF(I628&gt;0,J628*100/I628,0)</f>
        <v>69.920269722221107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IFERROR(__xludf.DUMMYFUNCTION("IMPORTRANGE(""https://docs.google.com/spreadsheets/d/1SX6NBoVAgQJ6U1MVXOaj8PK2l7WJ3RER9xtqwdhxkhw/edit?usp=sharing"",""สระแก้ว!I524"")"),586)</f>
        <v>586</v>
      </c>
      <c r="J629" s="341">
        <f ca="1">IFERROR(__xludf.DUMMYFUNCTION("IMPORTRANGE(""https://docs.google.com/spreadsheets/d/1SX6NBoVAgQJ6U1MVXOaj8PK2l7WJ3RER9xtqwdhxkhw/edit?usp=sharing"",""สระแก้ว!J524"")"),351)</f>
        <v>351</v>
      </c>
      <c r="K629" s="342">
        <f t="shared" ca="1" si="129"/>
        <v>59.897610921501709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IFERROR(__xludf.DUMMYFUNCTION("IMPORTRANGE(""https://docs.google.com/spreadsheets/d/1SX6NBoVAgQJ6U1MVXOaj8PK2l7WJ3RER9xtqwdhxkhw/edit?usp=sharing"",""สระแก้ว!I525"")"),5399272.16)</f>
        <v>5399272.1600000001</v>
      </c>
      <c r="J630" s="341">
        <f ca="1">IFERROR(__xludf.DUMMYFUNCTION("IMPORTRANGE(""https://docs.google.com/spreadsheets/d/1SX6NBoVAgQJ6U1MVXOaj8PK2l7WJ3RER9xtqwdhxkhw/edit?usp=sharing"",""สระแก้ว!J525"")"),1332232.6)</f>
        <v>1332232.6000000001</v>
      </c>
      <c r="K630" s="342">
        <f t="shared" ca="1" si="129"/>
        <v>24.674299804142493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IFERROR(__xludf.DUMMYFUNCTION("IMPORTRANGE(""https://docs.google.com/spreadsheets/d/1SX6NBoVAgQJ6U1MVXOaj8PK2l7WJ3RER9xtqwdhxkhw/edit?usp=sharing"",""สระแก้ว!I526"")"),242)</f>
        <v>242</v>
      </c>
      <c r="J631" s="341">
        <f ca="1">IFERROR(__xludf.DUMMYFUNCTION("IMPORTRANGE(""https://docs.google.com/spreadsheets/d/1SX6NBoVAgQJ6U1MVXOaj8PK2l7WJ3RER9xtqwdhxkhw/edit?usp=sharing"",""สระแก้ว!J526"")"),190)</f>
        <v>190</v>
      </c>
      <c r="K631" s="342">
        <f t="shared" ca="1" si="129"/>
        <v>78.512396694214871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IFERROR(__xludf.DUMMYFUNCTION("IMPORTRANGE(""https://docs.google.com/spreadsheets/d/1SX6NBoVAgQJ6U1MVXOaj8PK2l7WJ3RER9xtqwdhxkhw/edit?usp=sharing"",""สระแก้ว!I527"")"),0)</f>
        <v>0</v>
      </c>
      <c r="J632" s="341">
        <f ca="1">IFERROR(__xludf.DUMMYFUNCTION("IMPORTRANGE(""https://docs.google.com/spreadsheets/d/1SX6NBoVAgQJ6U1MVXOaj8PK2l7WJ3RER9xtqwdhxkhw/edit?usp=sharing"",""สระแก้ว!J527"")"),16650.11)</f>
        <v>16650.11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IFERROR(__xludf.DUMMYFUNCTION("IMPORTRANGE(""https://docs.google.com/spreadsheets/d/1SX6NBoVAgQJ6U1MVXOaj8PK2l7WJ3RER9xtqwdhxkhw/edit?usp=sharing"",""สระแก้ว!I528"")"),0)</f>
        <v>0</v>
      </c>
      <c r="J633" s="341">
        <f ca="1">IFERROR(__xludf.DUMMYFUNCTION("IMPORTRANGE(""https://docs.google.com/spreadsheets/d/1SX6NBoVAgQJ6U1MVXOaj8PK2l7WJ3RER9xtqwdhxkhw/edit?usp=sharing"",""สระแก้ว!J528"")"),1)</f>
        <v>1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IFERROR(__xludf.DUMMYFUNCTION("IMPORTRANGE(""https://docs.google.com/spreadsheets/d/1SX6NBoVAgQJ6U1MVXOaj8PK2l7WJ3RER9xtqwdhxkhw/edit?usp=sharing"",""สระแก้ว!I529"")"),10000000)</f>
        <v>10000000</v>
      </c>
      <c r="J634" s="341">
        <f ca="1">IFERROR(__xludf.DUMMYFUNCTION("IMPORTRANGE(""https://docs.google.com/spreadsheets/d/1SX6NBoVAgQJ6U1MVXOaj8PK2l7WJ3RER9xtqwdhxkhw/edit?usp=sharing"",""สระแก้ว!J529"")"),2000000)</f>
        <v>2000000</v>
      </c>
      <c r="K634" s="342">
        <f t="shared" ca="1" si="129"/>
        <v>20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IFERROR(__xludf.DUMMYFUNCTION("IMPORTRANGE(""https://docs.google.com/spreadsheets/d/1SX6NBoVAgQJ6U1MVXOaj8PK2l7WJ3RER9xtqwdhxkhw/edit?usp=sharing"",""สระแก้ว!I530"")"),250)</f>
        <v>250</v>
      </c>
      <c r="J635" s="504">
        <f ca="1">IFERROR(__xludf.DUMMYFUNCTION("IMPORTRANGE(""https://docs.google.com/spreadsheets/d/1SX6NBoVAgQJ6U1MVXOaj8PK2l7WJ3RER9xtqwdhxkhw/edit?usp=sharing"",""สระแก้ว!J530"")"),53)</f>
        <v>53</v>
      </c>
      <c r="K635" s="486">
        <f t="shared" ca="1" si="129"/>
        <v>21.2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272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4162534</v>
      </c>
      <c r="M8" s="23">
        <f t="shared" ca="1" si="0"/>
        <v>2375975</v>
      </c>
      <c r="N8" s="23">
        <f t="shared" ca="1" si="0"/>
        <v>2338368.09</v>
      </c>
      <c r="O8" s="22">
        <f t="shared" ref="O8:O16" ca="1" si="1">IF(L8&gt;0,N8*100/L8,0)</f>
        <v>56.176552311644784</v>
      </c>
      <c r="P8" s="22">
        <f t="shared" ref="P8:P16" ca="1" si="2">IF(M8&gt;0,N8*100/M8,0)</f>
        <v>98.417200938562061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4162534</v>
      </c>
      <c r="M10" s="30">
        <f t="shared" ca="1" si="4"/>
        <v>2375975</v>
      </c>
      <c r="N10" s="30">
        <f t="shared" ca="1" si="4"/>
        <v>2338368.09</v>
      </c>
      <c r="O10" s="29">
        <f t="shared" ca="1" si="1"/>
        <v>56.176552311644784</v>
      </c>
      <c r="P10" s="29">
        <f t="shared" ca="1" si="2"/>
        <v>98.417200938562061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4038134</v>
      </c>
      <c r="M12" s="38">
        <f t="shared" ca="1" si="6"/>
        <v>2251575</v>
      </c>
      <c r="N12" s="38">
        <f t="shared" ca="1" si="6"/>
        <v>2213968.09</v>
      </c>
      <c r="O12" s="38">
        <f t="shared" ca="1" si="1"/>
        <v>54.826513681814426</v>
      </c>
      <c r="P12" s="38">
        <f t="shared" ca="1" si="2"/>
        <v>98.329750952111297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1863300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2174834</v>
      </c>
      <c r="M14" s="38">
        <f t="shared" si="8"/>
        <v>0</v>
      </c>
      <c r="N14" s="38">
        <f t="shared" ca="1" si="8"/>
        <v>715269.67999999993</v>
      </c>
      <c r="O14" s="38">
        <f t="shared" ca="1" si="1"/>
        <v>32.888472407549266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124400</v>
      </c>
      <c r="M16" s="38">
        <f t="shared" ca="1" si="10"/>
        <v>124400</v>
      </c>
      <c r="N16" s="38">
        <f t="shared" ca="1" si="10"/>
        <v>124400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2843720</v>
      </c>
      <c r="M18" s="23">
        <f t="shared" ca="1" si="11"/>
        <v>2375975</v>
      </c>
      <c r="N18" s="23">
        <f t="shared" ca="1" si="11"/>
        <v>1623098.4100000001</v>
      </c>
      <c r="O18" s="22">
        <f t="shared" ref="O18:O20" ca="1" si="12">IF(L18&gt;0,N18*100/L18,0)</f>
        <v>57.076590170621579</v>
      </c>
      <c r="P18" s="22">
        <f t="shared" ref="P18:P26" ca="1" si="13">IF(M18&gt;0,N18*100/M18,0)</f>
        <v>68.312941424046969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2843720</v>
      </c>
      <c r="M20" s="30">
        <f t="shared" ca="1" si="15"/>
        <v>2375975</v>
      </c>
      <c r="N20" s="30">
        <f t="shared" ca="1" si="15"/>
        <v>1623098.4100000001</v>
      </c>
      <c r="O20" s="29">
        <f t="shared" ca="1" si="12"/>
        <v>57.076590170621579</v>
      </c>
      <c r="P20" s="29">
        <f t="shared" ca="1" si="13"/>
        <v>68.312941424046969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2719320</v>
      </c>
      <c r="M22" s="41">
        <f t="shared" ca="1" si="18"/>
        <v>2251575</v>
      </c>
      <c r="N22" s="38">
        <f t="shared" ca="1" si="18"/>
        <v>1498698.4100000001</v>
      </c>
      <c r="O22" s="38">
        <f t="shared" ca="1" si="17"/>
        <v>55.112984496124028</v>
      </c>
      <c r="P22" s="38">
        <f t="shared" ca="1" si="13"/>
        <v>66.562224664956759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1863300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856020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124400</v>
      </c>
      <c r="M26" s="49">
        <f t="shared" ca="1" si="22"/>
        <v>124400</v>
      </c>
      <c r="N26" s="49">
        <f t="shared" ca="1" si="22"/>
        <v>124400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1318814</v>
      </c>
      <c r="M28" s="23">
        <f t="shared" si="23"/>
        <v>0</v>
      </c>
      <c r="N28" s="23">
        <f t="shared" ca="1" si="23"/>
        <v>715269.67999999993</v>
      </c>
      <c r="O28" s="22">
        <f t="shared" ref="O28:O30" ca="1" si="24">IF(L28&gt;0,N28*100/L28,0)</f>
        <v>54.235827038536137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1318814</v>
      </c>
      <c r="M30" s="30">
        <f t="shared" si="27"/>
        <v>0</v>
      </c>
      <c r="N30" s="30">
        <f t="shared" ca="1" si="27"/>
        <v>715269.67999999993</v>
      </c>
      <c r="O30" s="29">
        <f t="shared" ca="1" si="24"/>
        <v>54.235827038536137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1318814</v>
      </c>
      <c r="M32" s="38">
        <f t="shared" si="30"/>
        <v>0</v>
      </c>
      <c r="N32" s="38">
        <f t="shared" ca="1" si="30"/>
        <v>715269.67999999993</v>
      </c>
      <c r="O32" s="38">
        <f t="shared" ca="1" si="29"/>
        <v>54.235827038536137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1318814</v>
      </c>
      <c r="M34" s="38">
        <f t="shared" si="32"/>
        <v>0</v>
      </c>
      <c r="N34" s="38">
        <f t="shared" ca="1" si="32"/>
        <v>715269.67999999993</v>
      </c>
      <c r="O34" s="38">
        <f t="shared" ca="1" si="29"/>
        <v>54.235827038536137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2843720</v>
      </c>
      <c r="M37" s="54">
        <f t="shared" ca="1" si="33"/>
        <v>2375975</v>
      </c>
      <c r="N37" s="54">
        <f t="shared" ca="1" si="33"/>
        <v>1623098.4100000001</v>
      </c>
      <c r="O37" s="55">
        <f t="shared" ca="1" si="29"/>
        <v>57.076590170621579</v>
      </c>
      <c r="P37" s="55">
        <f t="shared" ca="1" si="25"/>
        <v>68.312941424046969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640100</v>
      </c>
      <c r="M41" s="78">
        <f t="shared" ca="1" si="34"/>
        <v>580100</v>
      </c>
      <c r="N41" s="78">
        <f t="shared" ca="1" si="34"/>
        <v>418328.77</v>
      </c>
      <c r="O41" s="77">
        <f t="shared" ref="O41:O43" ca="1" si="35">IF(L41&gt;0,N41*100/L41,0)</f>
        <v>65.353658803311987</v>
      </c>
      <c r="P41" s="77">
        <f t="shared" ref="P41:P43" ca="1" si="36">IF(M41&gt;0,N41*100/M41,0)</f>
        <v>72.113216686778145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640100</v>
      </c>
      <c r="M43" s="78">
        <f t="shared" ca="1" si="38"/>
        <v>580100</v>
      </c>
      <c r="N43" s="78">
        <f t="shared" ca="1" si="38"/>
        <v>418328.77</v>
      </c>
      <c r="O43" s="77">
        <f t="shared" ca="1" si="35"/>
        <v>65.353658803311987</v>
      </c>
      <c r="P43" s="77">
        <f t="shared" ca="1" si="36"/>
        <v>72.113216686778145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640100</v>
      </c>
      <c r="M45" s="49">
        <f ca="1">IFERROR(__xludf.DUMMYFUNCTION("IMPORTRANGE(""https://docs.google.com/spreadsheets/d/1Yj_ptqi66GCucihVvJfMjLAmec39IyEx_6qawtMGysU/edit?usp=sharing"",""สบก!Q76"")"),580100)</f>
        <v>580100</v>
      </c>
      <c r="N45" s="49">
        <f ca="1">IFERROR(__xludf.DUMMYFUNCTION("IMPORTRANGE(""https://docs.google.com/spreadsheets/d/1Yj_ptqi66GCucihVvJfMjLAmec39IyEx_6qawtMGysU/edit?usp=sharing"",""สบก!R76"")"),418328.77)</f>
        <v>418328.77</v>
      </c>
      <c r="O45" s="38">
        <f ca="1">IF(L45&gt;0,N45*100/L45,0)</f>
        <v>65.353658803311987</v>
      </c>
      <c r="P45" s="38">
        <f ca="1">IF(M45&gt;0,N45*100/M45,0)</f>
        <v>72.113216686778145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IFERROR(__xludf.DUMMYFUNCTION("IMPORTRANGE(""https://docs.google.com/spreadsheets/d/1Yj_ptqi66GCucihVvJfMjLAmec39IyEx_6qawtMGysU/edit?usp=sharing"",""สบก!M76"")"),640100)</f>
        <v>640100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IFERROR(__xludf.DUMMYFUNCTION("IMPORTRANGE(""https://docs.google.com/spreadsheets/d/1Yj_ptqi66GCucihVvJfMjLAmec39IyEx_6qawtMGysU/edit?usp=sharing"",""สบก!N76"")"),0)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IFERROR(__xludf.DUMMYFUNCTION("IMPORTRANGE(""https://docs.google.com/spreadsheets/d/1Yj_ptqi66GCucihVvJfMjLAmec39IyEx_6qawtMGysU/edit?usp=sharing"",""สบก!O76"")"),0)</f>
        <v>0</v>
      </c>
      <c r="M49" s="49"/>
      <c r="N49" s="49">
        <f ca="1">IFERROR(__xludf.DUMMYFUNCTION("IMPORTRANGE(""https://docs.google.com/spreadsheets/d/1Yj_ptqi66GCucihVvJfMjLAmec39IyEx_6qawtMGysU/edit?usp=sharing"",""สบก!S76"")"),0)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358330</v>
      </c>
      <c r="N53" s="121">
        <f t="shared" ca="1" si="39"/>
        <v>267506</v>
      </c>
      <c r="O53" s="120">
        <f t="shared" ref="O53:O55" ca="1" si="40">IF(L53&gt;0,N53*100/L53,0)</f>
        <v>59.445777777777778</v>
      </c>
      <c r="P53" s="120">
        <f t="shared" ref="P53:P55" ca="1" si="41">IF(M53&gt;0,N53*100/M53,0)</f>
        <v>74.65353166075964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358330</v>
      </c>
      <c r="N55" s="121">
        <f t="shared" ca="1" si="43"/>
        <v>267506</v>
      </c>
      <c r="O55" s="120">
        <f t="shared" ca="1" si="40"/>
        <v>59.445777777777778</v>
      </c>
      <c r="P55" s="120">
        <f t="shared" ca="1" si="41"/>
        <v>74.65353166075964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IFERROR(__xludf.DUMMYFUNCTION("IMPORTRANGE(""https://docs.google.com/spreadsheets/d/1Yj_ptqi66GCucihVvJfMjLAmec39IyEx_6qawtMGysU/edit?usp=sharing"",""สบก!Z76"")"),358330)</f>
        <v>358330</v>
      </c>
      <c r="N57" s="49">
        <f ca="1">IFERROR(__xludf.DUMMYFUNCTION("IMPORTRANGE(""https://docs.google.com/spreadsheets/d/1Yj_ptqi66GCucihVvJfMjLAmec39IyEx_6qawtMGysU/edit?usp=sharing"",""สบก!AA76"")"),267506)</f>
        <v>267506</v>
      </c>
      <c r="O57" s="38">
        <f ca="1">IF(L57&gt;0,N57*100/L57,0)</f>
        <v>59.445777777777778</v>
      </c>
      <c r="P57" s="38">
        <f ca="1">IF(M57&gt;0,N57*100/M57,0)</f>
        <v>74.65353166075964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IFERROR(__xludf.DUMMYFUNCTION("IMPORTRANGE(""https://docs.google.com/spreadsheets/d/1Yj_ptqi66GCucihVvJfMjLAmec39IyEx_6qawtMGysU/edit?usp=sharing"",""สบก!V76"")"),450000)</f>
        <v>450000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IFERROR(__xludf.DUMMYFUNCTION("IMPORTRANGE(""https://docs.google.com/spreadsheets/d/1Yj_ptqi66GCucihVvJfMjLAmec39IyEx_6qawtMGysU/edit?usp=sharing"",""สบก!W76"")"),0)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IFERROR(__xludf.DUMMYFUNCTION("IMPORTRANGE(""https://docs.google.com/spreadsheets/d/1Yj_ptqi66GCucihVvJfMjLAmec39IyEx_6qawtMGysU/edit?usp=sharing"",""สบก!X76"")"),0)</f>
        <v>0</v>
      </c>
      <c r="M61" s="49"/>
      <c r="N61" s="49">
        <f ca="1">IFERROR(__xludf.DUMMYFUNCTION("IMPORTRANGE(""https://docs.google.com/spreadsheets/d/1Yj_ptqi66GCucihVvJfMjLAmec39IyEx_6qawtMGysU/edit?usp=sharing"",""สบก!AB76"")"),0)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IFERROR(__xludf.DUMMYFUNCTION("IMPORTRANGE(""https://docs.google.com/spreadsheets/d/1SX6NBoVAgQJ6U1MVXOaj8PK2l7WJ3RER9xtqwdhxkhw/edit?usp=sharing"",""สระบุรี!I9"")"),0)</f>
        <v>0</v>
      </c>
      <c r="J64" s="142">
        <f ca="1">IFERROR(__xludf.DUMMYFUNCTION("IMPORTRANGE(""https://docs.google.com/spreadsheets/d/1SX6NBoVAgQJ6U1MVXOaj8PK2l7WJ3RER9xtqwdhxkhw/edit?usp=sharing"",""สระบุรี!J9"")"),0)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IFERROR(__xludf.DUMMYFUNCTION("IMPORTRANGE(""https://docs.google.com/spreadsheets/d/1SX6NBoVAgQJ6U1MVXOaj8PK2l7WJ3RER9xtqwdhxkhw/edit?usp=sharing"",""สระบุรี!I10"")"),0)</f>
        <v>0</v>
      </c>
      <c r="J65" s="142">
        <f ca="1">IFERROR(__xludf.DUMMYFUNCTION("IMPORTRANGE(""https://docs.google.com/spreadsheets/d/1SX6NBoVAgQJ6U1MVXOaj8PK2l7WJ3RER9xtqwdhxkhw/edit?usp=sharing"",""สระบุรี!J10"")"),0)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IFERROR(__xludf.DUMMYFUNCTION("IMPORTRANGE(""https://docs.google.com/spreadsheets/d/1Yj_ptqi66GCucihVvJfMjLAmec39IyEx_6qawtMGysU/edit?usp=sharing"",""สบก!AI76"")"),0)</f>
        <v>0</v>
      </c>
      <c r="N70" s="169">
        <f ca="1">IFERROR(__xludf.DUMMYFUNCTION("IMPORTRANGE(""https://docs.google.com/spreadsheets/d/1Yj_ptqi66GCucihVvJfMjLAmec39IyEx_6qawtMGysU/edit?usp=sharing"",""สบก!AJ76"")"),0)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IFERROR(__xludf.DUMMYFUNCTION("IMPORTRANGE(""https://docs.google.com/spreadsheets/d/1Yj_ptqi66GCucihVvJfMjLAmec39IyEx_6qawtMGysU/edit?usp=sharing"",""สบก!AE76"")"),0)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IFERROR(__xludf.DUMMYFUNCTION("IMPORTRANGE(""https://docs.google.com/spreadsheets/d/1Yj_ptqi66GCucihVvJfMjLAmec39IyEx_6qawtMGysU/edit?usp=sharing"",""สบก!AF76"")"),0)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IFERROR(__xludf.DUMMYFUNCTION("IMPORTRANGE(""https://docs.google.com/spreadsheets/d/1Yj_ptqi66GCucihVvJfMjLAmec39IyEx_6qawtMGysU/edit?usp=sharing"",""สบก!AG76"")"),0)</f>
        <v>0</v>
      </c>
      <c r="M74" s="49"/>
      <c r="N74" s="49">
        <f ca="1">IFERROR(__xludf.DUMMYFUNCTION("IMPORTRANGE(""https://docs.google.com/spreadsheets/d/1Yj_ptqi66GCucihVvJfMjLAmec39IyEx_6qawtMGysU/edit?usp=sharing"",""สบก!AK76"")"),0)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IFERROR(__xludf.DUMMYFUNCTION("IMPORTRANGE(""https://docs.google.com/spreadsheets/d/1SX6NBoVAgQJ6U1MVXOaj8PK2l7WJ3RER9xtqwdhxkhw/edit?usp=sharing"",""สระบุรี!I20"")"),0)</f>
        <v>0</v>
      </c>
      <c r="J80" s="201">
        <f ca="1">IFERROR(__xludf.DUMMYFUNCTION("IMPORTRANGE(""https://docs.google.com/spreadsheets/d/1SX6NBoVAgQJ6U1MVXOaj8PK2l7WJ3RER9xtqwdhxkhw/edit?usp=sharing"",""สระบุรี!J20"")"),0)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IFERROR(__xludf.DUMMYFUNCTION("IMPORTRANGE(""https://docs.google.com/spreadsheets/d/1SX6NBoVAgQJ6U1MVXOaj8PK2l7WJ3RER9xtqwdhxkhw/edit?usp=sharing"",""สระบุรี!I21"")"),0)</f>
        <v>0</v>
      </c>
      <c r="J81" s="201">
        <f ca="1">IFERROR(__xludf.DUMMYFUNCTION("IMPORTRANGE(""https://docs.google.com/spreadsheets/d/1SX6NBoVAgQJ6U1MVXOaj8PK2l7WJ3RER9xtqwdhxkhw/edit?usp=sharing"",""สระบุรี!J21"")"),0)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IFERROR(__xludf.DUMMYFUNCTION("IMPORTRANGE(""https://docs.google.com/spreadsheets/d/1SX6NBoVAgQJ6U1MVXOaj8PK2l7WJ3RER9xtqwdhxkhw/edit?usp=sharing"",""สระบุรี!I22"")"),0)</f>
        <v>0</v>
      </c>
      <c r="J82" s="204">
        <f ca="1">IFERROR(__xludf.DUMMYFUNCTION("IMPORTRANGE(""https://docs.google.com/spreadsheets/d/1SX6NBoVAgQJ6U1MVXOaj8PK2l7WJ3RER9xtqwdhxkhw/edit?usp=sharing"",""สระบุรี!J22"")"),0)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IFERROR(__xludf.DUMMYFUNCTION("IMPORTRANGE(""https://docs.google.com/spreadsheets/d/1SX6NBoVAgQJ6U1MVXOaj8PK2l7WJ3RER9xtqwdhxkhw/edit?usp=sharing"",""สระบุรี!I23"")"),0)</f>
        <v>0</v>
      </c>
      <c r="J83" s="204">
        <f ca="1">IFERROR(__xludf.DUMMYFUNCTION("IMPORTRANGE(""https://docs.google.com/spreadsheets/d/1SX6NBoVAgQJ6U1MVXOaj8PK2l7WJ3RER9xtqwdhxkhw/edit?usp=sharing"",""สระบุรี!J23"")"),0)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IFERROR(__xludf.DUMMYFUNCTION("IMPORTRANGE(""https://docs.google.com/spreadsheets/d/1SX6NBoVAgQJ6U1MVXOaj8PK2l7WJ3RER9xtqwdhxkhw/edit?usp=sharing"",""สระบุรี!I24"")"),0)</f>
        <v>0</v>
      </c>
      <c r="J84" s="189">
        <f ca="1">IFERROR(__xludf.DUMMYFUNCTION("IMPORTRANGE(""https://docs.google.com/spreadsheets/d/1SX6NBoVAgQJ6U1MVXOaj8PK2l7WJ3RER9xtqwdhxkhw/edit?usp=sharing"",""สระบุรี!J24"")"),0)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IFERROR(__xludf.DUMMYFUNCTION("IMPORTRANGE(""https://docs.google.com/spreadsheets/d/1SX6NBoVAgQJ6U1MVXOaj8PK2l7WJ3RER9xtqwdhxkhw/edit?usp=sharing"",""สระบุรี!I25"")"),0)</f>
        <v>0</v>
      </c>
      <c r="J85" s="189">
        <f ca="1">IFERROR(__xludf.DUMMYFUNCTION("IMPORTRANGE(""https://docs.google.com/spreadsheets/d/1SX6NBoVAgQJ6U1MVXOaj8PK2l7WJ3RER9xtqwdhxkhw/edit?usp=sharing"",""สระบุรี!J25"")"),0)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IFERROR(__xludf.DUMMYFUNCTION("IMPORTRANGE(""https://docs.google.com/spreadsheets/d/1SX6NBoVAgQJ6U1MVXOaj8PK2l7WJ3RER9xtqwdhxkhw/edit?usp=sharing"",""สระบุรี!I26"")"),0)</f>
        <v>0</v>
      </c>
      <c r="J86" s="204">
        <f ca="1">IFERROR(__xludf.DUMMYFUNCTION("IMPORTRANGE(""https://docs.google.com/spreadsheets/d/1SX6NBoVAgQJ6U1MVXOaj8PK2l7WJ3RER9xtqwdhxkhw/edit?usp=sharing"",""สระบุรี!J26"")"),0)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IFERROR(__xludf.DUMMYFUNCTION("IMPORTRANGE(""https://docs.google.com/spreadsheets/d/1SX6NBoVAgQJ6U1MVXOaj8PK2l7WJ3RER9xtqwdhxkhw/edit?usp=sharing"",""สระบุรี!I27"")"),0)</f>
        <v>0</v>
      </c>
      <c r="J87" s="204">
        <f ca="1">IFERROR(__xludf.DUMMYFUNCTION("IMPORTRANGE(""https://docs.google.com/spreadsheets/d/1SX6NBoVAgQJ6U1MVXOaj8PK2l7WJ3RER9xtqwdhxkhw/edit?usp=sharing"",""สระบุรี!J27"")"),0)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IFERROR(__xludf.DUMMYFUNCTION("IMPORTRANGE(""https://docs.google.com/spreadsheets/d/1SX6NBoVAgQJ6U1MVXOaj8PK2l7WJ3RER9xtqwdhxkhw/edit?usp=sharing"",""สระบุรี!I28"")"),0)</f>
        <v>0</v>
      </c>
      <c r="J88" s="204">
        <f ca="1">IFERROR(__xludf.DUMMYFUNCTION("IMPORTRANGE(""https://docs.google.com/spreadsheets/d/1SX6NBoVAgQJ6U1MVXOaj8PK2l7WJ3RER9xtqwdhxkhw/edit?usp=sharing"",""สระบุรี!J28"")"),0)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IFERROR(__xludf.DUMMYFUNCTION("IMPORTRANGE(""https://docs.google.com/spreadsheets/d/1SX6NBoVAgQJ6U1MVXOaj8PK2l7WJ3RER9xtqwdhxkhw/edit?usp=sharing"",""สระบุรี!J30"")"),0)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IFERROR(__xludf.DUMMYFUNCTION("IMPORTRANGE(""https://docs.google.com/spreadsheets/d/1SX6NBoVAgQJ6U1MVXOaj8PK2l7WJ3RER9xtqwdhxkhw/edit?usp=sharing"",""สระบุรี!I32"")"),4)</f>
        <v>4</v>
      </c>
      <c r="J92" s="142">
        <f ca="1">IFERROR(__xludf.DUMMYFUNCTION("IMPORTRANGE(""https://docs.google.com/spreadsheets/d/1SX6NBoVAgQJ6U1MVXOaj8PK2l7WJ3RER9xtqwdhxkhw/edit?usp=sharing"",""สระบุรี!J32"")"),4)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IFERROR(__xludf.DUMMYFUNCTION("IMPORTRANGE(""https://docs.google.com/spreadsheets/d/1SX6NBoVAgQJ6U1MVXOaj8PK2l7WJ3RER9xtqwdhxkhw/edit?usp=sharing"",""สระบุรี!I33"")"),1)</f>
        <v>1</v>
      </c>
      <c r="J93" s="142">
        <f ca="1">IFERROR(__xludf.DUMMYFUNCTION("IMPORTRANGE(""https://docs.google.com/spreadsheets/d/1SX6NBoVAgQJ6U1MVXOaj8PK2l7WJ3RER9xtqwdhxkhw/edit?usp=sharing"",""สระบุรี!J33"")"),0)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157920</v>
      </c>
      <c r="O94" s="151">
        <f t="shared" ref="O94:O96" ca="1" si="53">IF(L94&gt;0,N94*100/L94,0)</f>
        <v>73.622377622377627</v>
      </c>
      <c r="P94" s="151">
        <f t="shared" ref="P94:P96" ca="1" si="54">IF(M94&gt;0,N94*100/M94,0)</f>
        <v>73.622377622377627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157920</v>
      </c>
      <c r="O96" s="156">
        <f t="shared" ca="1" si="53"/>
        <v>73.622377622377627</v>
      </c>
      <c r="P96" s="156">
        <f t="shared" ca="1" si="54"/>
        <v>73.622377622377627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IFERROR(__xludf.DUMMYFUNCTION("IMPORTRANGE(""https://docs.google.com/spreadsheets/d/1Yj_ptqi66GCucihVvJfMjLAmec39IyEx_6qawtMGysU/edit?usp=sharing"",""สบก!AR76"")"),122100)</f>
        <v>122100</v>
      </c>
      <c r="N98" s="169">
        <f ca="1">IFERROR(__xludf.DUMMYFUNCTION("IMPORTRANGE(""https://docs.google.com/spreadsheets/d/1Yj_ptqi66GCucihVvJfMjLAmec39IyEx_6qawtMGysU/edit?usp=sharing"",""สบก!AS76"")"),65520)</f>
        <v>65520</v>
      </c>
      <c r="O98" s="169">
        <f ca="1">IF(L98&gt;0,N98*100/L98,0)</f>
        <v>53.660933660933658</v>
      </c>
      <c r="P98" s="169">
        <f ca="1">IF(M98&gt;0,N98*100/M98,0)</f>
        <v>53.660933660933658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IFERROR(__xludf.DUMMYFUNCTION("IMPORTRANGE(""https://docs.google.com/spreadsheets/d/1Yj_ptqi66GCucihVvJfMjLAmec39IyEx_6qawtMGysU/edit?usp=sharing"",""สบก!AN76"")"),0)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IFERROR(__xludf.DUMMYFUNCTION("IMPORTRANGE(""https://docs.google.com/spreadsheets/d/1Yj_ptqi66GCucihVvJfMjLAmec39IyEx_6qawtMGysU/edit?usp=sharing"",""สบก!AO76"")"),122100)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IFERROR(__xludf.DUMMYFUNCTION("IMPORTRANGE(""https://docs.google.com/spreadsheets/d/1Yj_ptqi66GCucihVvJfMjLAmec39IyEx_6qawtMGysU/edit?usp=sharing"",""สบก!AP76"")"),92400)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IFERROR(__xludf.DUMMYFUNCTION("IMPORTRANGE(""https://docs.google.com/spreadsheets/d/1Yj_ptqi66GCucihVvJfMjLAmec39IyEx_6qawtMGysU/edit?usp=sharing"",""สบก!AT76"")"),92400)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IFERROR(__xludf.DUMMYFUNCTION("IMPORTRANGE(""https://docs.google.com/spreadsheets/d/1SX6NBoVAgQJ6U1MVXOaj8PK2l7WJ3RER9xtqwdhxkhw/edit?usp=sharing"",""สระบุรี!J40"")"),1)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IFERROR(__xludf.DUMMYFUNCTION("IMPORTRANGE(""https://docs.google.com/spreadsheets/d/1SX6NBoVAgQJ6U1MVXOaj8PK2l7WJ3RER9xtqwdhxkhw/edit?usp=sharing"",""สระบุรี!J41"")"),1)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IFERROR(__xludf.DUMMYFUNCTION("IMPORTRANGE(""https://docs.google.com/spreadsheets/d/1SX6NBoVAgQJ6U1MVXOaj8PK2l7WJ3RER9xtqwdhxkhw/edit?usp=sharing"",""สระบุรี!J42"")"),1)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IFERROR(__xludf.DUMMYFUNCTION("IMPORTRANGE(""https://docs.google.com/spreadsheets/d/1SX6NBoVAgQJ6U1MVXOaj8PK2l7WJ3RER9xtqwdhxkhw/edit?usp=sharing"",""สระบุรี!I43"")"),1)</f>
        <v>1</v>
      </c>
      <c r="J108" s="204">
        <f ca="1">IFERROR(__xludf.DUMMYFUNCTION("IMPORTRANGE(""https://docs.google.com/spreadsheets/d/1SX6NBoVAgQJ6U1MVXOaj8PK2l7WJ3RER9xtqwdhxkhw/edit?usp=sharing"",""สระบุรี!J43"")"),1)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IFERROR(__xludf.DUMMYFUNCTION("IMPORTRANGE(""https://docs.google.com/spreadsheets/d/1SX6NBoVAgQJ6U1MVXOaj8PK2l7WJ3RER9xtqwdhxkhw/edit?usp=sharing"",""สระบุรี!I44"")"),4)</f>
        <v>4</v>
      </c>
      <c r="J109" s="204">
        <f ca="1">IFERROR(__xludf.DUMMYFUNCTION("IMPORTRANGE(""https://docs.google.com/spreadsheets/d/1SX6NBoVAgQJ6U1MVXOaj8PK2l7WJ3RER9xtqwdhxkhw/edit?usp=sharing"",""สระบุรี!J44"")"),4)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IFERROR(__xludf.DUMMYFUNCTION("IMPORTRANGE(""https://docs.google.com/spreadsheets/d/1SX6NBoVAgQJ6U1MVXOaj8PK2l7WJ3RER9xtqwdhxkhw/edit?usp=sharing"",""สระบุรี!I45"")"),4)</f>
        <v>4</v>
      </c>
      <c r="J110" s="204">
        <f ca="1">IFERROR(__xludf.DUMMYFUNCTION("IMPORTRANGE(""https://docs.google.com/spreadsheets/d/1SX6NBoVAgQJ6U1MVXOaj8PK2l7WJ3RER9xtqwdhxkhw/edit?usp=sharing"",""สระบุรี!J45"")"),4)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IFERROR(__xludf.DUMMYFUNCTION("IMPORTRANGE(""https://docs.google.com/spreadsheets/d/1SX6NBoVAgQJ6U1MVXOaj8PK2l7WJ3RER9xtqwdhxkhw/edit?usp=sharing"",""สระบุรี!I46"")"),4)</f>
        <v>4</v>
      </c>
      <c r="J111" s="204">
        <f ca="1">IFERROR(__xludf.DUMMYFUNCTION("IMPORTRANGE(""https://docs.google.com/spreadsheets/d/1SX6NBoVAgQJ6U1MVXOaj8PK2l7WJ3RER9xtqwdhxkhw/edit?usp=sharing"",""สระบุรี!J46"")"),4)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IFERROR(__xludf.DUMMYFUNCTION("IMPORTRANGE(""https://docs.google.com/spreadsheets/d/1SX6NBoVAgQJ6U1MVXOaj8PK2l7WJ3RER9xtqwdhxkhw/edit?usp=sharing"",""สระบุรี!I47"")"),4)</f>
        <v>4</v>
      </c>
      <c r="J112" s="204">
        <f ca="1">IFERROR(__xludf.DUMMYFUNCTION("IMPORTRANGE(""https://docs.google.com/spreadsheets/d/1SX6NBoVAgQJ6U1MVXOaj8PK2l7WJ3RER9xtqwdhxkhw/edit?usp=sharing"",""สระบุรี!J47"")"),4)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IFERROR(__xludf.DUMMYFUNCTION("IMPORTRANGE(""https://docs.google.com/spreadsheets/d/1SX6NBoVAgQJ6U1MVXOaj8PK2l7WJ3RER9xtqwdhxkhw/edit?usp=sharing"",""สระบุรี!I48"")"),1)</f>
        <v>1</v>
      </c>
      <c r="J113" s="204">
        <f ca="1">IFERROR(__xludf.DUMMYFUNCTION("IMPORTRANGE(""https://docs.google.com/spreadsheets/d/1SX6NBoVAgQJ6U1MVXOaj8PK2l7WJ3RER9xtqwdhxkhw/edit?usp=sharing"",""สระบุรี!J48"")"),0)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IFERROR(__xludf.DUMMYFUNCTION("IMPORTRANGE(""https://docs.google.com/spreadsheets/d/1SX6NBoVAgQJ6U1MVXOaj8PK2l7WJ3RER9xtqwdhxkhw/edit?usp=sharing"",""สระบุรี!J50"")"),0)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IFERROR(__xludf.DUMMYFUNCTION("IMPORTRANGE(""https://docs.google.com/spreadsheets/d/1SX6NBoVAgQJ6U1MVXOaj8PK2l7WJ3RER9xtqwdhxkhw/edit?usp=sharing"",""สระบุรี!I52"")"),15)</f>
        <v>15</v>
      </c>
      <c r="J117" s="142">
        <f ca="1">IFERROR(__xludf.DUMMYFUNCTION("IMPORTRANGE(""https://docs.google.com/spreadsheets/d/1SX6NBoVAgQJ6U1MVXOaj8PK2l7WJ3RER9xtqwdhxkhw/edit?usp=sharing"",""สระบุรี!J52"")"),15)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37140</v>
      </c>
      <c r="O118" s="151">
        <f t="shared" ref="O118:O120" ca="1" si="59">IF(L118&gt;0,N118*100/L118,0)</f>
        <v>57.235321312991218</v>
      </c>
      <c r="P118" s="151">
        <f t="shared" ref="P118:P120" ca="1" si="60">IF(M118&gt;0,N118*100/M118,0)</f>
        <v>57.235321312991218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37140</v>
      </c>
      <c r="O120" s="156">
        <f t="shared" ca="1" si="59"/>
        <v>57.235321312991218</v>
      </c>
      <c r="P120" s="156">
        <f t="shared" ca="1" si="60"/>
        <v>57.235321312991218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IFERROR(__xludf.DUMMYFUNCTION("IMPORTRANGE(""https://docs.google.com/spreadsheets/d/1Yj_ptqi66GCucihVvJfMjLAmec39IyEx_6qawtMGysU/edit?usp=sharing"",""สบก!BA76"")"),64890)</f>
        <v>64890</v>
      </c>
      <c r="N122" s="169">
        <f ca="1">IFERROR(__xludf.DUMMYFUNCTION("IMPORTRANGE(""https://docs.google.com/spreadsheets/d/1Yj_ptqi66GCucihVvJfMjLAmec39IyEx_6qawtMGysU/edit?usp=sharing"",""สบก!BB76"")"),37140)</f>
        <v>37140</v>
      </c>
      <c r="O122" s="169">
        <f ca="1">IF(L122&gt;0,N122*100/L122,0)</f>
        <v>57.235321312991218</v>
      </c>
      <c r="P122" s="169">
        <f ca="1">IF(M122&gt;0,N122*100/M122,0)</f>
        <v>57.235321312991218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IFERROR(__xludf.DUMMYFUNCTION("IMPORTRANGE(""https://docs.google.com/spreadsheets/d/1Yj_ptqi66GCucihVvJfMjLAmec39IyEx_6qawtMGysU/edit?usp=sharing"",""สบก!AW76"")"),0)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IFERROR(__xludf.DUMMYFUNCTION("IMPORTRANGE(""https://docs.google.com/spreadsheets/d/1Yj_ptqi66GCucihVvJfMjLAmec39IyEx_6qawtMGysU/edit?usp=sharing"",""สบก!AX76"")"),64890)</f>
        <v>64890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IFERROR(__xludf.DUMMYFUNCTION("IMPORTRANGE(""https://docs.google.com/spreadsheets/d/1Yj_ptqi66GCucihVvJfMjLAmec39IyEx_6qawtMGysU/edit?usp=sharing"",""สบก!AY76"")"),0)</f>
        <v>0</v>
      </c>
      <c r="M126" s="49"/>
      <c r="N126" s="49">
        <f ca="1">IFERROR(__xludf.DUMMYFUNCTION("IMPORTRANGE(""https://docs.google.com/spreadsheets/d/1Yj_ptqi66GCucihVvJfMjLAmec39IyEx_6qawtMGysU/edit?usp=sharing"",""สบก!BC76"")"),0)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273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IFERROR(__xludf.DUMMYFUNCTION("IMPORTRANGE(""https://docs.google.com/spreadsheets/d/1SX6NBoVAgQJ6U1MVXOaj8PK2l7WJ3RER9xtqwdhxkhw/edit?usp=sharing"",""สระบุรี!J59"")"),1)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IFERROR(__xludf.DUMMYFUNCTION("IMPORTRANGE(""https://docs.google.com/spreadsheets/d/1SX6NBoVAgQJ6U1MVXOaj8PK2l7WJ3RER9xtqwdhxkhw/edit?usp=sharing"",""สระบุรี!J60"")"),1)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IFERROR(__xludf.DUMMYFUNCTION("IMPORTRANGE(""https://docs.google.com/spreadsheets/d/1SX6NBoVAgQJ6U1MVXOaj8PK2l7WJ3RER9xtqwdhxkhw/edit?usp=sharing"",""สระบุรี!J61"")"),1)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IFERROR(__xludf.DUMMYFUNCTION("IMPORTRANGE(""https://docs.google.com/spreadsheets/d/1SX6NBoVAgQJ6U1MVXOaj8PK2l7WJ3RER9xtqwdhxkhw/edit?usp=sharing"",""สระบุรี!I62"")"),15)</f>
        <v>15</v>
      </c>
      <c r="J132" s="204">
        <f ca="1">IFERROR(__xludf.DUMMYFUNCTION("IMPORTRANGE(""https://docs.google.com/spreadsheets/d/1SX6NBoVAgQJ6U1MVXOaj8PK2l7WJ3RER9xtqwdhxkhw/edit?usp=sharing"",""สระบุรี!J62"")"),15)</f>
        <v>15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IFERROR(__xludf.DUMMYFUNCTION("IMPORTRANGE(""https://docs.google.com/spreadsheets/d/1SX6NBoVAgQJ6U1MVXOaj8PK2l7WJ3RER9xtqwdhxkhw/edit?usp=sharing"",""สระบุรี!I63"")"),15)</f>
        <v>15</v>
      </c>
      <c r="J133" s="204">
        <f ca="1">IFERROR(__xludf.DUMMYFUNCTION("IMPORTRANGE(""https://docs.google.com/spreadsheets/d/1SX6NBoVAgQJ6U1MVXOaj8PK2l7WJ3RER9xtqwdhxkhw/edit?usp=sharing"",""สระบุรี!J63"")"),15)</f>
        <v>15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IFERROR(__xludf.DUMMYFUNCTION("IMPORTRANGE(""https://docs.google.com/spreadsheets/d/1SX6NBoVAgQJ6U1MVXOaj8PK2l7WJ3RER9xtqwdhxkhw/edit?usp=sharing"",""สระบุรี!J65"")"),0)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IFERROR(__xludf.DUMMYFUNCTION("IMPORTRANGE(""https://docs.google.com/spreadsheets/d/1SX6NBoVAgQJ6U1MVXOaj8PK2l7WJ3RER9xtqwdhxkhw/edit?usp=sharing"",""สระบุรี!I68"")"),15)</f>
        <v>15</v>
      </c>
      <c r="J138" s="267">
        <f ca="1">IFERROR(__xludf.DUMMYFUNCTION("IMPORTRANGE(""https://docs.google.com/spreadsheets/d/1SX6NBoVAgQJ6U1MVXOaj8PK2l7WJ3RER9xtqwdhxkhw/edit?usp=sharing"",""สระบุรี!J68"")"),15)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374200</v>
      </c>
      <c r="M140" s="152">
        <f t="shared" ca="1" si="64"/>
        <v>296825</v>
      </c>
      <c r="N140" s="152">
        <f t="shared" ca="1" si="64"/>
        <v>211271.53</v>
      </c>
      <c r="O140" s="151">
        <f t="shared" ref="O140:O142" ca="1" si="65">IF(L140&gt;0,N140*100/L140,0)</f>
        <v>56.459521646178516</v>
      </c>
      <c r="P140" s="151">
        <f t="shared" ref="P140:P142" ca="1" si="66">IF(M140&gt;0,N140*100/M140,0)</f>
        <v>71.177134675313738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374200</v>
      </c>
      <c r="M142" s="157">
        <f t="shared" ca="1" si="68"/>
        <v>296825</v>
      </c>
      <c r="N142" s="157">
        <f t="shared" ca="1" si="68"/>
        <v>211271.53</v>
      </c>
      <c r="O142" s="156">
        <f t="shared" ca="1" si="65"/>
        <v>56.459521646178516</v>
      </c>
      <c r="P142" s="156">
        <f t="shared" ca="1" si="66"/>
        <v>71.177134675313738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374200</v>
      </c>
      <c r="M144" s="168">
        <f ca="1">IFERROR(__xludf.DUMMYFUNCTION("IMPORTRANGE(""https://docs.google.com/spreadsheets/d/1Yj_ptqi66GCucihVvJfMjLAmec39IyEx_6qawtMGysU/edit?usp=sharing"",""สบก!BJ76"")"),296825)</f>
        <v>296825</v>
      </c>
      <c r="N144" s="169">
        <f ca="1">IFERROR(__xludf.DUMMYFUNCTION("IMPORTRANGE(""https://docs.google.com/spreadsheets/d/1Yj_ptqi66GCucihVvJfMjLAmec39IyEx_6qawtMGysU/edit?usp=sharing"",""สบก!BK76"")"),211271.53)</f>
        <v>211271.53</v>
      </c>
      <c r="O144" s="169">
        <f ca="1">IF(L144&gt;0,N144*100/L144,0)</f>
        <v>56.459521646178516</v>
      </c>
      <c r="P144" s="169">
        <f ca="1">IF(M144&gt;0,N144*100/M144,0)</f>
        <v>71.177134675313738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IFERROR(__xludf.DUMMYFUNCTION("IMPORTRANGE(""https://docs.google.com/spreadsheets/d/1Yj_ptqi66GCucihVvJfMjLAmec39IyEx_6qawtMGysU/edit?usp=sharing"",""สบก!BF76"")"),301600)</f>
        <v>301600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IFERROR(__xludf.DUMMYFUNCTION("IMPORTRANGE(""https://docs.google.com/spreadsheets/d/1Yj_ptqi66GCucihVvJfMjLAmec39IyEx_6qawtMGysU/edit?usp=sharing"",""สบก!BG76"")"),72600)</f>
        <v>72600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IFERROR(__xludf.DUMMYFUNCTION("IMPORTRANGE(""https://docs.google.com/spreadsheets/d/1Yj_ptqi66GCucihVvJfMjLAmec39IyEx_6qawtMGysU/edit?usp=sharing"",""สบก!BH76"")"),0)</f>
        <v>0</v>
      </c>
      <c r="M148" s="49"/>
      <c r="N148" s="49">
        <f ca="1">IFERROR(__xludf.DUMMYFUNCTION("IMPORTRANGE(""https://docs.google.com/spreadsheets/d/1Yj_ptqi66GCucihVvJfMjLAmec39IyEx_6qawtMGysU/edit?usp=sharing"",""สบก!BL76"")"),0)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IFERROR(__xludf.DUMMYFUNCTION("IMPORTRANGE(""https://docs.google.com/spreadsheets/d/1SX6NBoVAgQJ6U1MVXOaj8PK2l7WJ3RER9xtqwdhxkhw/edit?usp=sharing"",""สระบุรี!I74"")"),4)</f>
        <v>4</v>
      </c>
      <c r="J149" s="275">
        <f ca="1">IFERROR(__xludf.DUMMYFUNCTION("IMPORTRANGE(""https://docs.google.com/spreadsheets/d/1SX6NBoVAgQJ6U1MVXOaj8PK2l7WJ3RER9xtqwdhxkhw/edit?usp=sharing"",""สระบุรี!J74"")"),2)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IFERROR(__xludf.DUMMYFUNCTION("IMPORTRANGE(""https://docs.google.com/spreadsheets/d/1SX6NBoVAgQJ6U1MVXOaj8PK2l7WJ3RER9xtqwdhxkhw/edit?usp=sharing"",""สระบุรี!I83"")"),4)</f>
        <v>4</v>
      </c>
      <c r="J158" s="189">
        <f ca="1">IFERROR(__xludf.DUMMYFUNCTION("IMPORTRANGE(""https://docs.google.com/spreadsheets/d/1SX6NBoVAgQJ6U1MVXOaj8PK2l7WJ3RER9xtqwdhxkhw/edit?usp=sharing"",""สระบุรี!J83"")"),2)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IFERROR(__xludf.DUMMYFUNCTION("IMPORTRANGE(""https://docs.google.com/spreadsheets/d/1SX6NBoVAgQJ6U1MVXOaj8PK2l7WJ3RER9xtqwdhxkhw/edit?usp=sharing"",""สระบุรี!J84"")"),101)</f>
        <v>101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IFERROR(__xludf.DUMMYFUNCTION("IMPORTRANGE(""https://docs.google.com/spreadsheets/d/1SX6NBoVAgQJ6U1MVXOaj8PK2l7WJ3RER9xtqwdhxkhw/edit?usp=sharing"",""สระบุรี!J85"")"),101)</f>
        <v>101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IFERROR(__xludf.DUMMYFUNCTION("IMPORTRANGE(""https://docs.google.com/spreadsheets/d/1SX6NBoVAgQJ6U1MVXOaj8PK2l7WJ3RER9xtqwdhxkhw/edit?usp=sharing"",""สระบุรี!J86"")"),0)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IFERROR(__xludf.DUMMYFUNCTION("IMPORTRANGE(""https://docs.google.com/spreadsheets/d/1SX6NBoVAgQJ6U1MVXOaj8PK2l7WJ3RER9xtqwdhxkhw/edit?usp=sharing"",""สระบุรี!J88"")"),0)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IFERROR(__xludf.DUMMYFUNCTION("IMPORTRANGE(""https://docs.google.com/spreadsheets/d/1SX6NBoVAgQJ6U1MVXOaj8PK2l7WJ3RER9xtqwdhxkhw/edit?usp=sharing"",""สระบุรี!I89"")"),3)</f>
        <v>3</v>
      </c>
      <c r="J164" s="284">
        <f ca="1">IFERROR(__xludf.DUMMYFUNCTION("IMPORTRANGE(""https://docs.google.com/spreadsheets/d/1SX6NBoVAgQJ6U1MVXOaj8PK2l7WJ3RER9xtqwdhxkhw/edit?usp=sharing"",""สระบุรี!J89"")"),3)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IFERROR(__xludf.DUMMYFUNCTION("IMPORTRANGE(""https://docs.google.com/spreadsheets/d/1SX6NBoVAgQJ6U1MVXOaj8PK2l7WJ3RER9xtqwdhxkhw/edit?usp=sharing"",""สระบุรี!I98"")"),3)</f>
        <v>3</v>
      </c>
      <c r="J173" s="189">
        <f ca="1">IFERROR(__xludf.DUMMYFUNCTION("IMPORTRANGE(""https://docs.google.com/spreadsheets/d/1SX6NBoVAgQJ6U1MVXOaj8PK2l7WJ3RER9xtqwdhxkhw/edit?usp=sharing"",""สระบุรี!J98"")"),3)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IFERROR(__xludf.DUMMYFUNCTION("IMPORTRANGE(""https://docs.google.com/spreadsheets/d/1SX6NBoVAgQJ6U1MVXOaj8PK2l7WJ3RER9xtqwdhxkhw/edit?usp=sharing"",""สระบุรี!J100"")"),0)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IFERROR(__xludf.DUMMYFUNCTION("IMPORTRANGE(""https://docs.google.com/spreadsheets/d/1SX6NBoVAgQJ6U1MVXOaj8PK2l7WJ3RER9xtqwdhxkhw/edit?usp=sharing"",""สระบุรี!I101"")"),0)</f>
        <v>0</v>
      </c>
      <c r="J176" s="284">
        <f ca="1">IFERROR(__xludf.DUMMYFUNCTION("IMPORTRANGE(""https://docs.google.com/spreadsheets/d/1SX6NBoVAgQJ6U1MVXOaj8PK2l7WJ3RER9xtqwdhxkhw/edit?usp=sharing"",""สระบุรี!J101"")"),0)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IFERROR(__xludf.DUMMYFUNCTION("IMPORTRANGE(""https://docs.google.com/spreadsheets/d/1SX6NBoVAgQJ6U1MVXOaj8PK2l7WJ3RER9xtqwdhxkhw/edit?usp=sharing"",""สระบุรี!I110"")"),0)</f>
        <v>0</v>
      </c>
      <c r="J185" s="204">
        <f ca="1">IFERROR(__xludf.DUMMYFUNCTION("IMPORTRANGE(""https://docs.google.com/spreadsheets/d/1SX6NBoVAgQJ6U1MVXOaj8PK2l7WJ3RER9xtqwdhxkhw/edit?usp=sharing"",""สระบุรี!J110"")"),0)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IFERROR(__xludf.DUMMYFUNCTION("IMPORTRANGE(""https://docs.google.com/spreadsheets/d/1SX6NBoVAgQJ6U1MVXOaj8PK2l7WJ3RER9xtqwdhxkhw/edit?usp=sharing"",""สระบุรี!I111"")"),0)</f>
        <v>0</v>
      </c>
      <c r="J186" s="204">
        <f ca="1">IFERROR(__xludf.DUMMYFUNCTION("IMPORTRANGE(""https://docs.google.com/spreadsheets/d/1SX6NBoVAgQJ6U1MVXOaj8PK2l7WJ3RER9xtqwdhxkhw/edit?usp=sharing"",""สระบุรี!J111"")"),0)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IFERROR(__xludf.DUMMYFUNCTION("IMPORTRANGE(""https://docs.google.com/spreadsheets/d/1SX6NBoVAgQJ6U1MVXOaj8PK2l7WJ3RER9xtqwdhxkhw/edit?usp=sharing"",""สระบุรี!J113"")"),0)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IFERROR(__xludf.DUMMYFUNCTION("IMPORTRANGE(""https://docs.google.com/spreadsheets/d/1SX6NBoVAgQJ6U1MVXOaj8PK2l7WJ3RER9xtqwdhxkhw/edit?usp=sharing"",""สระบุรี!I114"")"),12800)</f>
        <v>12800</v>
      </c>
      <c r="J189" s="284">
        <f ca="1">IFERROR(__xludf.DUMMYFUNCTION("IMPORTRANGE(""https://docs.google.com/spreadsheets/d/1SX6NBoVAgQJ6U1MVXOaj8PK2l7WJ3RER9xtqwdhxkhw/edit?usp=sharing"",""สระบุรี!J114"")"),0)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IFERROR(__xludf.DUMMYFUNCTION("IMPORTRANGE(""https://docs.google.com/spreadsheets/d/1SX6NBoVAgQJ6U1MVXOaj8PK2l7WJ3RER9xtqwdhxkhw/edit?usp=sharing"",""สระบุรี!I124"")"),12800)</f>
        <v>12800</v>
      </c>
      <c r="J199" s="189">
        <f ca="1">IFERROR(__xludf.DUMMYFUNCTION("IMPORTRANGE(""https://docs.google.com/spreadsheets/d/1SX6NBoVAgQJ6U1MVXOaj8PK2l7WJ3RER9xtqwdhxkhw/edit?usp=sharing"",""สระบุรี!J124"")"),0)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IFERROR(__xludf.DUMMYFUNCTION("IMPORTRANGE(""https://docs.google.com/spreadsheets/d/1SX6NBoVAgQJ6U1MVXOaj8PK2l7WJ3RER9xtqwdhxkhw/edit?usp=sharing"",""สระบุรี!I125"")"),12800)</f>
        <v>12800</v>
      </c>
      <c r="J200" s="189">
        <f ca="1">IFERROR(__xludf.DUMMYFUNCTION("IMPORTRANGE(""https://docs.google.com/spreadsheets/d/1SX6NBoVAgQJ6U1MVXOaj8PK2l7WJ3RER9xtqwdhxkhw/edit?usp=sharing"",""สระบุรี!J125"")"),0)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IFERROR(__xludf.DUMMYFUNCTION("IMPORTRANGE(""https://docs.google.com/spreadsheets/d/1SX6NBoVAgQJ6U1MVXOaj8PK2l7WJ3RER9xtqwdhxkhw/edit?usp=sharing"",""สระบุรี!I126"")"),15)</f>
        <v>15</v>
      </c>
      <c r="J201" s="189">
        <f ca="1">IFERROR(__xludf.DUMMYFUNCTION("IMPORTRANGE(""https://docs.google.com/spreadsheets/d/1SX6NBoVAgQJ6U1MVXOaj8PK2l7WJ3RER9xtqwdhxkhw/edit?usp=sharing"",""สระบุรี!J126"")"),15)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IFERROR(__xludf.DUMMYFUNCTION("IMPORTRANGE(""https://docs.google.com/spreadsheets/d/1SX6NBoVAgQJ6U1MVXOaj8PK2l7WJ3RER9xtqwdhxkhw/edit?usp=sharing"",""สระบุรี!J128"")"),0)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IFERROR(__xludf.DUMMYFUNCTION("IMPORTRANGE(""https://docs.google.com/spreadsheets/d/1SX6NBoVAgQJ6U1MVXOaj8PK2l7WJ3RER9xtqwdhxkhw/edit?usp=sharing"",""สระบุรี!I129"")"),0)</f>
        <v>0</v>
      </c>
      <c r="J204" s="284">
        <f ca="1">IFERROR(__xludf.DUMMYFUNCTION("IMPORTRANGE(""https://docs.google.com/spreadsheets/d/1SX6NBoVAgQJ6U1MVXOaj8PK2l7WJ3RER9xtqwdhxkhw/edit?usp=sharing"",""สระบุรี!J129"")"),0)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IFERROR(__xludf.DUMMYFUNCTION("IMPORTRANGE(""https://docs.google.com/spreadsheets/d/1SX6NBoVAgQJ6U1MVXOaj8PK2l7WJ3RER9xtqwdhxkhw/edit?usp=sharing"",""สระบุรี!I138"")"),0)</f>
        <v>0</v>
      </c>
      <c r="J213" s="204">
        <f ca="1">IFERROR(__xludf.DUMMYFUNCTION("IMPORTRANGE(""https://docs.google.com/spreadsheets/d/1SX6NBoVAgQJ6U1MVXOaj8PK2l7WJ3RER9xtqwdhxkhw/edit?usp=sharing"",""สระบุรี!J138"")"),0)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IFERROR(__xludf.DUMMYFUNCTION("IMPORTRANGE(""https://docs.google.com/spreadsheets/d/1SX6NBoVAgQJ6U1MVXOaj8PK2l7WJ3RER9xtqwdhxkhw/edit?usp=sharing"",""สระบุรี!I140"")"),0)</f>
        <v>0</v>
      </c>
      <c r="J215" s="204">
        <f ca="1">IFERROR(__xludf.DUMMYFUNCTION("IMPORTRANGE(""https://docs.google.com/spreadsheets/d/1SX6NBoVAgQJ6U1MVXOaj8PK2l7WJ3RER9xtqwdhxkhw/edit?usp=sharing"",""สระบุรี!J140"")"),0)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IFERROR(__xludf.DUMMYFUNCTION("IMPORTRANGE(""https://docs.google.com/spreadsheets/d/1SX6NBoVAgQJ6U1MVXOaj8PK2l7WJ3RER9xtqwdhxkhw/edit?usp=sharing"",""สระบุรี!I141"")"),0)</f>
        <v>0</v>
      </c>
      <c r="J216" s="204">
        <f ca="1">IFERROR(__xludf.DUMMYFUNCTION("IMPORTRANGE(""https://docs.google.com/spreadsheets/d/1SX6NBoVAgQJ6U1MVXOaj8PK2l7WJ3RER9xtqwdhxkhw/edit?usp=sharing"",""สระบุรี!J141"")"),0)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IFERROR(__xludf.DUMMYFUNCTION("IMPORTRANGE(""https://docs.google.com/spreadsheets/d/1SX6NBoVAgQJ6U1MVXOaj8PK2l7WJ3RER9xtqwdhxkhw/edit?usp=sharing"",""สระบุรี!J143"")"),0)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IFERROR(__xludf.DUMMYFUNCTION("IMPORTRANGE(""https://docs.google.com/spreadsheets/d/1SX6NBoVAgQJ6U1MVXOaj8PK2l7WJ3RER9xtqwdhxkhw/edit?usp=sharing"",""สระบุรี!I144"")"),14)</f>
        <v>14</v>
      </c>
      <c r="J219" s="267">
        <f ca="1">IFERROR(__xludf.DUMMYFUNCTION("IMPORTRANGE(""https://docs.google.com/spreadsheets/d/1SX6NBoVAgQJ6U1MVXOaj8PK2l7WJ3RER9xtqwdhxkhw/edit?usp=sharing"",""สระบุรี!J144"")"),14)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19105</v>
      </c>
      <c r="O220" s="151">
        <f t="shared" ref="O220:O222" ca="1" si="73">IF(L220&gt;0,N220*100/L220,0)</f>
        <v>94.532409698169218</v>
      </c>
      <c r="P220" s="151">
        <f t="shared" ref="P220:P222" ca="1" si="74">IF(M220&gt;0,N220*100/M220,0)</f>
        <v>94.532409698169218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19105</v>
      </c>
      <c r="O222" s="156">
        <f t="shared" ca="1" si="73"/>
        <v>94.532409698169218</v>
      </c>
      <c r="P222" s="156">
        <f t="shared" ca="1" si="74"/>
        <v>94.532409698169218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IFERROR(__xludf.DUMMYFUNCTION("IMPORTRANGE(""https://docs.google.com/spreadsheets/d/1Yj_ptqi66GCucihVvJfMjLAmec39IyEx_6qawtMGysU/edit?usp=sharing"",""สบก!BS76"")"),20210)</f>
        <v>20210</v>
      </c>
      <c r="N224" s="169">
        <f ca="1">IFERROR(__xludf.DUMMYFUNCTION("IMPORTRANGE(""https://docs.google.com/spreadsheets/d/1Yj_ptqi66GCucihVvJfMjLAmec39IyEx_6qawtMGysU/edit?usp=sharing"",""สบก!BT76"")"),19105)</f>
        <v>19105</v>
      </c>
      <c r="O224" s="169">
        <f ca="1">IF(L224&gt;0,N224*100/L224,0)</f>
        <v>94.532409698169218</v>
      </c>
      <c r="P224" s="169">
        <f ca="1">IF(M224&gt;0,N224*100/M224,0)</f>
        <v>94.532409698169218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IFERROR(__xludf.DUMMYFUNCTION("IMPORTRANGE(""https://docs.google.com/spreadsheets/d/1Yj_ptqi66GCucihVvJfMjLAmec39IyEx_6qawtMGysU/edit?usp=sharing"",""สบก!BO76"")"),0)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IFERROR(__xludf.DUMMYFUNCTION("IMPORTRANGE(""https://docs.google.com/spreadsheets/d/1Yj_ptqi66GCucihVvJfMjLAmec39IyEx_6qawtMGysU/edit?usp=sharing"",""สบก!BP76"")"),20210)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IFERROR(__xludf.DUMMYFUNCTION("IMPORTRANGE(""https://docs.google.com/spreadsheets/d/1Yj_ptqi66GCucihVvJfMjLAmec39IyEx_6qawtMGysU/edit?usp=sharing"",""สบก!BQ76"")"),0)</f>
        <v>0</v>
      </c>
      <c r="M228" s="49"/>
      <c r="N228" s="49">
        <f ca="1">IFERROR(__xludf.DUMMYFUNCTION("IMPORTRANGE(""https://docs.google.com/spreadsheets/d/1Yj_ptqi66GCucihVvJfMjLAmec39IyEx_6qawtMGysU/edit?usp=sharing"",""สบก!BU76"")"),0)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IFERROR(__xludf.DUMMYFUNCTION("IMPORTRANGE(""https://docs.google.com/spreadsheets/d/1SX6NBoVAgQJ6U1MVXOaj8PK2l7WJ3RER9xtqwdhxkhw/edit?usp=sharing"",""สระบุรี!I149"")"),14)</f>
        <v>14</v>
      </c>
      <c r="J229" s="267">
        <f ca="1">IFERROR(__xludf.DUMMYFUNCTION("IMPORTRANGE(""https://docs.google.com/spreadsheets/d/1SX6NBoVAgQJ6U1MVXOaj8PK2l7WJ3RER9xtqwdhxkhw/edit?usp=sharing"",""สระบุรี!J149"")"),14)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IFERROR(__xludf.DUMMYFUNCTION("IMPORTRANGE(""https://docs.google.com/spreadsheets/d/1SX6NBoVAgQJ6U1MVXOaj8PK2l7WJ3RER9xtqwdhxkhw/edit?usp=sharing"",""สระบุรี!I155"")"),14)</f>
        <v>14</v>
      </c>
      <c r="J235" s="189">
        <f ca="1">IFERROR(__xludf.DUMMYFUNCTION("IMPORTRANGE(""https://docs.google.com/spreadsheets/d/1SX6NBoVAgQJ6U1MVXOaj8PK2l7WJ3RER9xtqwdhxkhw/edit?usp=sharing"",""สระบุรี!J155"")"),14)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IFERROR(__xludf.DUMMYFUNCTION("IMPORTRANGE(""https://docs.google.com/spreadsheets/d/1SX6NBoVAgQJ6U1MVXOaj8PK2l7WJ3RER9xtqwdhxkhw/edit?usp=sharing"",""สระบุรี!J157"")"),0)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IFERROR(__xludf.DUMMYFUNCTION("IMPORTRANGE(""https://docs.google.com/spreadsheets/d/1SX6NBoVAgQJ6U1MVXOaj8PK2l7WJ3RER9xtqwdhxkhw/edit?usp=sharing"",""สระบุรี!I158"")"),0)</f>
        <v>0</v>
      </c>
      <c r="J238" s="267">
        <f ca="1">IFERROR(__xludf.DUMMYFUNCTION("IMPORTRANGE(""https://docs.google.com/spreadsheets/d/1SX6NBoVAgQJ6U1MVXOaj8PK2l7WJ3RER9xtqwdhxkhw/edit?usp=sharing"",""สระบุรี!J158"")"),0)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IFERROR(__xludf.DUMMYFUNCTION("IMPORTRANGE(""https://docs.google.com/spreadsheets/d/1SX6NBoVAgQJ6U1MVXOaj8PK2l7WJ3RER9xtqwdhxkhw/edit?usp=sharing"",""สระบุรี!I164"")"),0)</f>
        <v>0</v>
      </c>
      <c r="J244" s="188">
        <f ca="1">IFERROR(__xludf.DUMMYFUNCTION("IMPORTRANGE(""https://docs.google.com/spreadsheets/d/1SX6NBoVAgQJ6U1MVXOaj8PK2l7WJ3RER9xtqwdhxkhw/edit?usp=sharing"",""สระบุรี!J164"")"),0)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IFERROR(__xludf.DUMMYFUNCTION("IMPORTRANGE(""https://docs.google.com/spreadsheets/d/1SX6NBoVAgQJ6U1MVXOaj8PK2l7WJ3RER9xtqwdhxkhw/edit?usp=sharing"",""สระบุรี!J166"")"),0)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IFERROR(__xludf.DUMMYFUNCTION("IMPORTRANGE(""https://docs.google.com/spreadsheets/d/1SX6NBoVAgQJ6U1MVXOaj8PK2l7WJ3RER9xtqwdhxkhw/edit?usp=sharing"",""สระบุรี!I169"")"),20)</f>
        <v>20</v>
      </c>
      <c r="J249" s="316">
        <f ca="1">IFERROR(__xludf.DUMMYFUNCTION("IMPORTRANGE(""https://docs.google.com/spreadsheets/d/1SX6NBoVAgQJ6U1MVXOaj8PK2l7WJ3RER9xtqwdhxkhw/edit?usp=sharing"",""สระบุรี!J169"")"),20)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181400</v>
      </c>
      <c r="M250" s="152">
        <f t="shared" ca="1" si="77"/>
        <v>159400</v>
      </c>
      <c r="N250" s="152">
        <f t="shared" ca="1" si="77"/>
        <v>90916</v>
      </c>
      <c r="O250" s="151">
        <f t="shared" ref="O250:O252" ca="1" si="78">IF(L250&gt;0,N250*100/L250,0)</f>
        <v>50.119073869900774</v>
      </c>
      <c r="P250" s="151">
        <f t="shared" ref="P250:P252" ca="1" si="79">IF(M250&gt;0,N250*100/M250,0)</f>
        <v>57.036386449184441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181400</v>
      </c>
      <c r="M252" s="157">
        <f t="shared" ca="1" si="81"/>
        <v>159400</v>
      </c>
      <c r="N252" s="157">
        <f t="shared" ca="1" si="81"/>
        <v>90916</v>
      </c>
      <c r="O252" s="156">
        <f t="shared" ca="1" si="78"/>
        <v>50.119073869900774</v>
      </c>
      <c r="P252" s="156">
        <f t="shared" ca="1" si="79"/>
        <v>57.036386449184441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181400</v>
      </c>
      <c r="M254" s="168">
        <f ca="1">IFERROR(__xludf.DUMMYFUNCTION("IMPORTRANGE(""https://docs.google.com/spreadsheets/d/1Yj_ptqi66GCucihVvJfMjLAmec39IyEx_6qawtMGysU/edit?usp=sharing"",""สบก!CB76"")"),159400)</f>
        <v>159400</v>
      </c>
      <c r="N254" s="169">
        <f ca="1">IFERROR(__xludf.DUMMYFUNCTION("IMPORTRANGE(""https://docs.google.com/spreadsheets/d/1Yj_ptqi66GCucihVvJfMjLAmec39IyEx_6qawtMGysU/edit?usp=sharing"",""สบก!CC76"")"),90916)</f>
        <v>90916</v>
      </c>
      <c r="O254" s="169">
        <f ca="1">IF(L254&gt;0,N254*100/L254,0)</f>
        <v>50.119073869900774</v>
      </c>
      <c r="P254" s="169">
        <f ca="1">IF(M254&gt;0,N254*100/M254,0)</f>
        <v>57.036386449184441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IFERROR(__xludf.DUMMYFUNCTION("IMPORTRANGE(""https://docs.google.com/spreadsheets/d/1Yj_ptqi66GCucihVvJfMjLAmec39IyEx_6qawtMGysU/edit?usp=sharing"",""สบก!BX76"")"),0)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IFERROR(__xludf.DUMMYFUNCTION("IMPORTRANGE(""https://docs.google.com/spreadsheets/d/1Yj_ptqi66GCucihVvJfMjLAmec39IyEx_6qawtMGysU/edit?usp=sharing"",""สบก!BY76"")"),181400)</f>
        <v>181400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IFERROR(__xludf.DUMMYFUNCTION("IMPORTRANGE(""https://docs.google.com/spreadsheets/d/1Yj_ptqi66GCucihVvJfMjLAmec39IyEx_6qawtMGysU/edit?usp=sharing"",""สบก!BZ76"")"),0)</f>
        <v>0</v>
      </c>
      <c r="M258" s="49"/>
      <c r="N258" s="49">
        <f ca="1">IFERROR(__xludf.DUMMYFUNCTION("IMPORTRANGE(""https://docs.google.com/spreadsheets/d/1Yj_ptqi66GCucihVvJfMjLAmec39IyEx_6qawtMGysU/edit?usp=sharing"",""สบก!CD76"")"),0)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IFERROR(__xludf.DUMMYFUNCTION("IMPORTRANGE(""https://docs.google.com/spreadsheets/d/1SX6NBoVAgQJ6U1MVXOaj8PK2l7WJ3RER9xtqwdhxkhw/edit?usp=sharing"",""สระบุรี!I179"")"),1)</f>
        <v>1</v>
      </c>
      <c r="J264" s="189">
        <f ca="1">IFERROR(__xludf.DUMMYFUNCTION("IMPORTRANGE(""https://docs.google.com/spreadsheets/d/1SX6NBoVAgQJ6U1MVXOaj8PK2l7WJ3RER9xtqwdhxkhw/edit?usp=sharing"",""สระบุรี!J179"")"),1)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IFERROR(__xludf.DUMMYFUNCTION("IMPORTRANGE(""https://docs.google.com/spreadsheets/d/1SX6NBoVAgQJ6U1MVXOaj8PK2l7WJ3RER9xtqwdhxkhw/edit?usp=sharing"",""สระบุรี!I180"")"),20)</f>
        <v>20</v>
      </c>
      <c r="J265" s="189">
        <f ca="1">IFERROR(__xludf.DUMMYFUNCTION("IMPORTRANGE(""https://docs.google.com/spreadsheets/d/1SX6NBoVAgQJ6U1MVXOaj8PK2l7WJ3RER9xtqwdhxkhw/edit?usp=sharing"",""สระบุรี!J180"")"),20)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IFERROR(__xludf.DUMMYFUNCTION("IMPORTRANGE(""https://docs.google.com/spreadsheets/d/1SX6NBoVAgQJ6U1MVXOaj8PK2l7WJ3RER9xtqwdhxkhw/edit?usp=sharing"",""สระบุรี!I181"")"),20)</f>
        <v>20</v>
      </c>
      <c r="J266" s="189">
        <f ca="1">IFERROR(__xludf.DUMMYFUNCTION("IMPORTRANGE(""https://docs.google.com/spreadsheets/d/1SX6NBoVAgQJ6U1MVXOaj8PK2l7WJ3RER9xtqwdhxkhw/edit?usp=sharing"",""สระบุรี!J181"")"),0)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IFERROR(__xludf.DUMMYFUNCTION("IMPORTRANGE(""https://docs.google.com/spreadsheets/d/1SX6NBoVAgQJ6U1MVXOaj8PK2l7WJ3RER9xtqwdhxkhw/edit?usp=sharing"",""สระบุรี!I182"")"),1)</f>
        <v>1</v>
      </c>
      <c r="J267" s="189">
        <f ca="1">IFERROR(__xludf.DUMMYFUNCTION("IMPORTRANGE(""https://docs.google.com/spreadsheets/d/1SX6NBoVAgQJ6U1MVXOaj8PK2l7WJ3RER9xtqwdhxkhw/edit?usp=sharing"",""สระบุรี!J182"")"),1)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IFERROR(__xludf.DUMMYFUNCTION("IMPORTRANGE(""https://docs.google.com/spreadsheets/d/1SX6NBoVAgQJ6U1MVXOaj8PK2l7WJ3RER9xtqwdhxkhw/edit?usp=sharing"",""สระบุรี!J184"")"),0)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IFERROR(__xludf.DUMMYFUNCTION("IMPORTRANGE(""https://docs.google.com/spreadsheets/d/1SX6NBoVAgQJ6U1MVXOaj8PK2l7WJ3RER9xtqwdhxkhw/edit?usp=sharing"",""สระบุรี!I185"")"),15)</f>
        <v>15</v>
      </c>
      <c r="J270" s="316">
        <f ca="1">IFERROR(__xludf.DUMMYFUNCTION("IMPORTRANGE(""https://docs.google.com/spreadsheets/d/1SX6NBoVAgQJ6U1MVXOaj8PK2l7WJ3RER9xtqwdhxkhw/edit?usp=sharing"",""สระบุรี!J185"")"),15)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29290</v>
      </c>
      <c r="O271" s="151">
        <f t="shared" ref="O271:O273" ca="1" si="84">IF(L271&gt;0,N271*100/L271,0)</f>
        <v>53.061594202898547</v>
      </c>
      <c r="P271" s="151">
        <f t="shared" ref="P271:P273" ca="1" si="85">IF(M271&gt;0,N271*100/M271,0)</f>
        <v>90.821705426356587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29290</v>
      </c>
      <c r="O273" s="156">
        <f t="shared" ca="1" si="84"/>
        <v>53.061594202898547</v>
      </c>
      <c r="P273" s="156">
        <f t="shared" ca="1" si="85"/>
        <v>90.821705426356587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IFERROR(__xludf.DUMMYFUNCTION("IMPORTRANGE(""https://docs.google.com/spreadsheets/d/1Yj_ptqi66GCucihVvJfMjLAmec39IyEx_6qawtMGysU/edit?usp=sharing"",""สบก!CK76"")"),32250)</f>
        <v>32250</v>
      </c>
      <c r="N275" s="169">
        <f ca="1">IFERROR(__xludf.DUMMYFUNCTION("IMPORTRANGE(""https://docs.google.com/spreadsheets/d/1Yj_ptqi66GCucihVvJfMjLAmec39IyEx_6qawtMGysU/edit?usp=sharing"",""สบก!CL76"")"),29290)</f>
        <v>29290</v>
      </c>
      <c r="O275" s="169">
        <f ca="1">IF(L275&gt;0,N275*100/L275,0)</f>
        <v>53.061594202898547</v>
      </c>
      <c r="P275" s="169">
        <f ca="1">IF(M275&gt;0,N275*100/M275,0)</f>
        <v>90.821705426356587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IFERROR(__xludf.DUMMYFUNCTION("IMPORTRANGE(""https://docs.google.com/spreadsheets/d/1Yj_ptqi66GCucihVvJfMjLAmec39IyEx_6qawtMGysU/edit?usp=sharing"",""สบก!CG76"")"),0)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IFERROR(__xludf.DUMMYFUNCTION("IMPORTRANGE(""https://docs.google.com/spreadsheets/d/1Yj_ptqi66GCucihVvJfMjLAmec39IyEx_6qawtMGysU/edit?usp=sharing"",""สบก!CH76"")"),55200)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IFERROR(__xludf.DUMMYFUNCTION("IMPORTRANGE(""https://docs.google.com/spreadsheets/d/1Yj_ptqi66GCucihVvJfMjLAmec39IyEx_6qawtMGysU/edit?usp=sharing"",""สบก!CI76"")"),0)</f>
        <v>0</v>
      </c>
      <c r="M279" s="49"/>
      <c r="N279" s="49">
        <f ca="1">IFERROR(__xludf.DUMMYFUNCTION("IMPORTRANGE(""https://docs.google.com/spreadsheets/d/1Yj_ptqi66GCucihVvJfMjLAmec39IyEx_6qawtMGysU/edit?usp=sharing"",""สบก!CM76"")"),0)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IFERROR(__xludf.DUMMYFUNCTION("IMPORTRANGE(""https://docs.google.com/spreadsheets/d/1SX6NBoVAgQJ6U1MVXOaj8PK2l7WJ3RER9xtqwdhxkhw/edit?usp=sharing"",""สระบุรี!I195"")"),15)</f>
        <v>15</v>
      </c>
      <c r="J285" s="189">
        <f ca="1">IFERROR(__xludf.DUMMYFUNCTION("IMPORTRANGE(""https://docs.google.com/spreadsheets/d/1SX6NBoVAgQJ6U1MVXOaj8PK2l7WJ3RER9xtqwdhxkhw/edit?usp=sharing"",""สระบุรี!J195"")"),15)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IFERROR(__xludf.DUMMYFUNCTION("IMPORTRANGE(""https://docs.google.com/spreadsheets/d/1SX6NBoVAgQJ6U1MVXOaj8PK2l7WJ3RER9xtqwdhxkhw/edit?usp=sharing"",""สระบุรี!J197"")"),0)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IFERROR(__xludf.DUMMYFUNCTION("IMPORTRANGE(""https://docs.google.com/spreadsheets/d/1SX6NBoVAgQJ6U1MVXOaj8PK2l7WJ3RER9xtqwdhxkhw/edit?usp=sharing"",""สระบุรี!I199"")"),0)</f>
        <v>0</v>
      </c>
      <c r="J289" s="316">
        <f ca="1">IFERROR(__xludf.DUMMYFUNCTION("IMPORTRANGE(""https://docs.google.com/spreadsheets/d/1SX6NBoVAgQJ6U1MVXOaj8PK2l7WJ3RER9xtqwdhxkhw/edit?usp=sharing"",""สระบุรี!J199"")"),0)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IFERROR(__xludf.DUMMYFUNCTION("IMPORTRANGE(""https://docs.google.com/spreadsheets/d/1Yj_ptqi66GCucihVvJfMjLAmec39IyEx_6qawtMGysU/edit?usp=sharing"",""สบก!CT76"")"),0)</f>
        <v>0</v>
      </c>
      <c r="N294" s="169">
        <f ca="1">IFERROR(__xludf.DUMMYFUNCTION("IMPORTRANGE(""https://docs.google.com/spreadsheets/d/1Yj_ptqi66GCucihVvJfMjLAmec39IyEx_6qawtMGysU/edit?usp=sharing"",""สบก!CU76"")"),0)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IFERROR(__xludf.DUMMYFUNCTION("IMPORTRANGE(""https://docs.google.com/spreadsheets/d/1Yj_ptqi66GCucihVvJfMjLAmec39IyEx_6qawtMGysU/edit?usp=sharing"",""สบก!CP76"")"),0)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IFERROR(__xludf.DUMMYFUNCTION("IMPORTRANGE(""https://docs.google.com/spreadsheets/d/1Yj_ptqi66GCucihVvJfMjLAmec39IyEx_6qawtMGysU/edit?usp=sharing"",""สบก!CQ76"")"),0)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IFERROR(__xludf.DUMMYFUNCTION("IMPORTRANGE(""https://docs.google.com/spreadsheets/d/1Yj_ptqi66GCucihVvJfMjLAmec39IyEx_6qawtMGysU/edit?usp=sharing"",""สบก!CR76"")"),0)</f>
        <v>0</v>
      </c>
      <c r="M298" s="49"/>
      <c r="N298" s="49">
        <f ca="1">IFERROR(__xludf.DUMMYFUNCTION("IMPORTRANGE(""https://docs.google.com/spreadsheets/d/1Yj_ptqi66GCucihVvJfMjLAmec39IyEx_6qawtMGysU/edit?usp=sharing"",""สบก!CV76"")"),0)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IFERROR(__xludf.DUMMYFUNCTION("IMPORTRANGE(""https://docs.google.com/spreadsheets/d/1SX6NBoVAgQJ6U1MVXOaj8PK2l7WJ3RER9xtqwdhxkhw/edit?usp=sharing"",""สระบุรี!I209"")"),0)</f>
        <v>0</v>
      </c>
      <c r="J304" s="204">
        <f ca="1">IFERROR(__xludf.DUMMYFUNCTION("IMPORTRANGE(""https://docs.google.com/spreadsheets/d/1SX6NBoVAgQJ6U1MVXOaj8PK2l7WJ3RER9xtqwdhxkhw/edit?usp=sharing"",""สระบุรี!J209"")"),0)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IFERROR(__xludf.DUMMYFUNCTION("IMPORTRANGE(""https://docs.google.com/spreadsheets/d/1SX6NBoVAgQJ6U1MVXOaj8PK2l7WJ3RER9xtqwdhxkhw/edit?usp=sharing"",""สระบุรี!I211"")"),0)</f>
        <v>0</v>
      </c>
      <c r="J306" s="204">
        <f ca="1">IFERROR(__xludf.DUMMYFUNCTION("IMPORTRANGE(""https://docs.google.com/spreadsheets/d/1SX6NBoVAgQJ6U1MVXOaj8PK2l7WJ3RER9xtqwdhxkhw/edit?usp=sharing"",""สระบุรี!J211"")"),0)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IFERROR(__xludf.DUMMYFUNCTION("IMPORTRANGE(""https://docs.google.com/spreadsheets/d/1SX6NBoVAgQJ6U1MVXOaj8PK2l7WJ3RER9xtqwdhxkhw/edit?usp=sharing"",""สระบุรี!J213"")"),0)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IFERROR(__xludf.DUMMYFUNCTION("IMPORTRANGE(""https://docs.google.com/spreadsheets/d/1SX6NBoVAgQJ6U1MVXOaj8PK2l7WJ3RER9xtqwdhxkhw/edit?usp=sharing"",""สระบุรี!I214"")"),0)</f>
        <v>0</v>
      </c>
      <c r="J309" s="333">
        <f ca="1">IFERROR(__xludf.DUMMYFUNCTION("IMPORTRANGE(""https://docs.google.com/spreadsheets/d/1SX6NBoVAgQJ6U1MVXOaj8PK2l7WJ3RER9xtqwdhxkhw/edit?usp=sharing"",""สระบุรี!J214"")"),0)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IFERROR(__xludf.DUMMYFUNCTION("IMPORTRANGE(""https://docs.google.com/spreadsheets/d/1Yj_ptqi66GCucihVvJfMjLAmec39IyEx_6qawtMGysU/edit?usp=sharing"",""สบก!DC76"")"),0)</f>
        <v>0</v>
      </c>
      <c r="N314" s="169">
        <f ca="1">IFERROR(__xludf.DUMMYFUNCTION("IMPORTRANGE(""https://docs.google.com/spreadsheets/d/1Yj_ptqi66GCucihVvJfMjLAmec39IyEx_6qawtMGysU/edit?usp=sharing"",""สบก!DD76"")"),0)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IFERROR(__xludf.DUMMYFUNCTION("IMPORTRANGE(""https://docs.google.com/spreadsheets/d/1Yj_ptqi66GCucihVvJfMjLAmec39IyEx_6qawtMGysU/edit?usp=sharing"",""สบก!CY76"")"),0)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IFERROR(__xludf.DUMMYFUNCTION("IMPORTRANGE(""https://docs.google.com/spreadsheets/d/1Yj_ptqi66GCucihVvJfMjLAmec39IyEx_6qawtMGysU/edit?usp=sharing"",""สบก!CZ76"")"),0)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IFERROR(__xludf.DUMMYFUNCTION("IMPORTRANGE(""https://docs.google.com/spreadsheets/d/1Yj_ptqi66GCucihVvJfMjLAmec39IyEx_6qawtMGysU/edit?usp=sharing"",""สบก!DA76"")"),0)</f>
        <v>0</v>
      </c>
      <c r="M318" s="49"/>
      <c r="N318" s="49">
        <f ca="1">IFERROR(__xludf.DUMMYFUNCTION("IMPORTRANGE(""https://docs.google.com/spreadsheets/d/1Yj_ptqi66GCucihVvJfMjLAmec39IyEx_6qawtMGysU/edit?usp=sharing"",""สบก!DE76"")"),0)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IFERROR(__xludf.DUMMYFUNCTION("IMPORTRANGE(""https://docs.google.com/spreadsheets/d/1SX6NBoVAgQJ6U1MVXOaj8PK2l7WJ3RER9xtqwdhxkhw/edit?usp=sharing"",""สระบุรี!I224"")"),0)</f>
        <v>0</v>
      </c>
      <c r="J324" s="204">
        <f ca="1">IFERROR(__xludf.DUMMYFUNCTION("IMPORTRANGE(""https://docs.google.com/spreadsheets/d/1SX6NBoVAgQJ6U1MVXOaj8PK2l7WJ3RER9xtqwdhxkhw/edit?usp=sharing"",""สระบุรี!J224"")"),0)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IFERROR(__xludf.DUMMYFUNCTION("IMPORTRANGE(""https://docs.google.com/spreadsheets/d/1SX6NBoVAgQJ6U1MVXOaj8PK2l7WJ3RER9xtqwdhxkhw/edit?usp=sharing"",""สระบุรี!J226"")"),0)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IFERROR(__xludf.DUMMYFUNCTION("IMPORTRANGE(""https://docs.google.com/spreadsheets/d/1SX6NBoVAgQJ6U1MVXOaj8PK2l7WJ3RER9xtqwdhxkhw/edit?usp=sharing"",""สระบุรี!I228"")"),150)</f>
        <v>150</v>
      </c>
      <c r="J328" s="339">
        <f ca="1">IFERROR(__xludf.DUMMYFUNCTION("IMPORTRANGE(""https://docs.google.com/spreadsheets/d/1SX6NBoVAgQJ6U1MVXOaj8PK2l7WJ3RER9xtqwdhxkhw/edit?usp=sharing"",""สระบุรี!J228"")"),66)</f>
        <v>66</v>
      </c>
      <c r="K328" s="317">
        <f ca="1">IF(I328&gt;0,J328*100/I328,0)</f>
        <v>44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843220</v>
      </c>
      <c r="M329" s="152">
        <f t="shared" ca="1" si="98"/>
        <v>649470</v>
      </c>
      <c r="N329" s="152">
        <f t="shared" ca="1" si="98"/>
        <v>391621.11</v>
      </c>
      <c r="O329" s="151">
        <f t="shared" ref="O329:O331" ca="1" si="99">IF(L329&gt;0,N329*100/L329,0)</f>
        <v>46.443527193377768</v>
      </c>
      <c r="P329" s="151">
        <f t="shared" ref="P329:P331" ca="1" si="100">IF(M329&gt;0,N329*100/M329,0)</f>
        <v>60.298568063189983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843220</v>
      </c>
      <c r="M331" s="157">
        <f t="shared" ca="1" si="102"/>
        <v>649470</v>
      </c>
      <c r="N331" s="157">
        <f t="shared" ca="1" si="102"/>
        <v>391621.11</v>
      </c>
      <c r="O331" s="156">
        <f t="shared" ca="1" si="99"/>
        <v>46.443527193377768</v>
      </c>
      <c r="P331" s="156">
        <f t="shared" ca="1" si="100"/>
        <v>60.298568063189983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811220</v>
      </c>
      <c r="M333" s="168">
        <f ca="1">IFERROR(__xludf.DUMMYFUNCTION("IMPORTRANGE(""https://docs.google.com/spreadsheets/d/1Yj_ptqi66GCucihVvJfMjLAmec39IyEx_6qawtMGysU/edit?usp=sharing"",""สบก!DL76"")"),617470)</f>
        <v>617470</v>
      </c>
      <c r="N333" s="169">
        <f ca="1">IFERROR(__xludf.DUMMYFUNCTION("IMPORTRANGE(""https://docs.google.com/spreadsheets/d/1Yj_ptqi66GCucihVvJfMjLAmec39IyEx_6qawtMGysU/edit?usp=sharing"",""สบก!DM76"")"),359621.11)</f>
        <v>359621.11</v>
      </c>
      <c r="O333" s="169">
        <f ca="1">IF(L333&gt;0,N333*100/L333,0)</f>
        <v>44.330897906856343</v>
      </c>
      <c r="P333" s="169">
        <f ca="1">IF(M333&gt;0,N333*100/M333,0)</f>
        <v>58.241065962718835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IFERROR(__xludf.DUMMYFUNCTION("IMPORTRANGE(""https://docs.google.com/spreadsheets/d/1Yj_ptqi66GCucihVvJfMjLAmec39IyEx_6qawtMGysU/edit?usp=sharing"",""สบก!DH76"")"),471600)</f>
        <v>471600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IFERROR(__xludf.DUMMYFUNCTION("IMPORTRANGE(""https://docs.google.com/spreadsheets/d/1Yj_ptqi66GCucihVvJfMjLAmec39IyEx_6qawtMGysU/edit?usp=sharing"",""สบก!DI76"")"),339620)</f>
        <v>339620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IFERROR(__xludf.DUMMYFUNCTION("IMPORTRANGE(""https://docs.google.com/spreadsheets/d/1Yj_ptqi66GCucihVvJfMjLAmec39IyEx_6qawtMGysU/edit?usp=sharing"",""สบก!DJ76"")"),32000)</f>
        <v>32000</v>
      </c>
      <c r="M337" s="51">
        <f ca="1">L337</f>
        <v>32000</v>
      </c>
      <c r="N337" s="49">
        <f ca="1">IFERROR(__xludf.DUMMYFUNCTION("IMPORTRANGE(""https://docs.google.com/spreadsheets/d/1Yj_ptqi66GCucihVvJfMjLAmec39IyEx_6qawtMGysU/edit?usp=sharing"",""สบก!DN76"")"),32000)</f>
        <v>32000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IFERROR(__xludf.DUMMYFUNCTION("IMPORTRANGE(""https://docs.google.com/spreadsheets/d/1SX6NBoVAgQJ6U1MVXOaj8PK2l7WJ3RER9xtqwdhxkhw/edit?usp=sharing"",""สระบุรี!I234"")"),0)</f>
        <v>0</v>
      </c>
      <c r="J339" s="188">
        <f ca="1">IFERROR(__xludf.DUMMYFUNCTION("IMPORTRANGE(""https://docs.google.com/spreadsheets/d/1SX6NBoVAgQJ6U1MVXOaj8PK2l7WJ3RER9xtqwdhxkhw/edit?usp=sharing"",""สระบุรี!J234"")"),1)</f>
        <v>1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IFERROR(__xludf.DUMMYFUNCTION("IMPORTRANGE(""https://docs.google.com/spreadsheets/d/1SX6NBoVAgQJ6U1MVXOaj8PK2l7WJ3RER9xtqwdhxkhw/edit?usp=sharing"",""สระบุรี!I235"")"),1640)</f>
        <v>1640</v>
      </c>
      <c r="J340" s="188">
        <f ca="1">IFERROR(__xludf.DUMMYFUNCTION("IMPORTRANGE(""https://docs.google.com/spreadsheets/d/1SX6NBoVAgQJ6U1MVXOaj8PK2l7WJ3RER9xtqwdhxkhw/edit?usp=sharing"",""สระบุรี!J235"")"),4.28)</f>
        <v>4.28</v>
      </c>
      <c r="K340" s="342">
        <f t="shared" ca="1" si="103"/>
        <v>0.26097560975609757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IFERROR(__xludf.DUMMYFUNCTION("IMPORTRANGE(""https://docs.google.com/spreadsheets/d/1SX6NBoVAgQJ6U1MVXOaj8PK2l7WJ3RER9xtqwdhxkhw/edit?usp=sharing"",""สระบุรี!I236"")"),150)</f>
        <v>150</v>
      </c>
      <c r="J341" s="188">
        <f ca="1">IFERROR(__xludf.DUMMYFUNCTION("IMPORTRANGE(""https://docs.google.com/spreadsheets/d/1SX6NBoVAgQJ6U1MVXOaj8PK2l7WJ3RER9xtqwdhxkhw/edit?usp=sharing"",""สระบุรี!J236"")"),66)</f>
        <v>66</v>
      </c>
      <c r="K341" s="342">
        <f t="shared" ca="1" si="103"/>
        <v>44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IFERROR(__xludf.DUMMYFUNCTION("IMPORTRANGE(""https://docs.google.com/spreadsheets/d/1SX6NBoVAgQJ6U1MVXOaj8PK2l7WJ3RER9xtqwdhxkhw/edit?usp=sharing"",""สระบุรี!I237"")"),0)</f>
        <v>0</v>
      </c>
      <c r="J342" s="188">
        <f ca="1">IFERROR(__xludf.DUMMYFUNCTION("IMPORTRANGE(""https://docs.google.com/spreadsheets/d/1SX6NBoVAgQJ6U1MVXOaj8PK2l7WJ3RER9xtqwdhxkhw/edit?usp=sharing"",""สระบุรี!J237"")"),1249.3)</f>
        <v>1249.3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IFERROR(__xludf.DUMMYFUNCTION("IMPORTRANGE(""https://docs.google.com/spreadsheets/d/1SX6NBoVAgQJ6U1MVXOaj8PK2l7WJ3RER9xtqwdhxkhw/edit?usp=sharing"",""สระบุรี!I238"")"),150)</f>
        <v>150</v>
      </c>
      <c r="J343" s="188">
        <f ca="1">IFERROR(__xludf.DUMMYFUNCTION("IMPORTRANGE(""https://docs.google.com/spreadsheets/d/1SX6NBoVAgQJ6U1MVXOaj8PK2l7WJ3RER9xtqwdhxkhw/edit?usp=sharing"",""สระบุรี!J238"")"),0)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IFERROR(__xludf.DUMMYFUNCTION("IMPORTRANGE(""https://docs.google.com/spreadsheets/d/1SX6NBoVAgQJ6U1MVXOaj8PK2l7WJ3RER9xtqwdhxkhw/edit?usp=sharing"",""สระบุรี!I239"")"),0)</f>
        <v>0</v>
      </c>
      <c r="J344" s="188">
        <f ca="1">IFERROR(__xludf.DUMMYFUNCTION("IMPORTRANGE(""https://docs.google.com/spreadsheets/d/1SX6NBoVAgQJ6U1MVXOaj8PK2l7WJ3RER9xtqwdhxkhw/edit?usp=sharing"",""สระบุรี!J239"")"),0)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IFERROR(__xludf.DUMMYFUNCTION("IMPORTRANGE(""https://docs.google.com/spreadsheets/d/1SX6NBoVAgQJ6U1MVXOaj8PK2l7WJ3RER9xtqwdhxkhw/edit?usp=sharing"",""สระบุรี!I240"")"),150)</f>
        <v>150</v>
      </c>
      <c r="J345" s="188">
        <f ca="1">IFERROR(__xludf.DUMMYFUNCTION("IMPORTRANGE(""https://docs.google.com/spreadsheets/d/1SX6NBoVAgQJ6U1MVXOaj8PK2l7WJ3RER9xtqwdhxkhw/edit?usp=sharing"",""สระบุรี!J240"")"),66)</f>
        <v>66</v>
      </c>
      <c r="K345" s="342">
        <f t="shared" ca="1" si="103"/>
        <v>44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IFERROR(__xludf.DUMMYFUNCTION("IMPORTRANGE(""https://docs.google.com/spreadsheets/d/1SX6NBoVAgQJ6U1MVXOaj8PK2l7WJ3RER9xtqwdhxkhw/edit?usp=sharing"",""สระบุรี!I241"")"),0)</f>
        <v>0</v>
      </c>
      <c r="J346" s="188">
        <f ca="1">IFERROR(__xludf.DUMMYFUNCTION("IMPORTRANGE(""https://docs.google.com/spreadsheets/d/1SX6NBoVAgQJ6U1MVXOaj8PK2l7WJ3RER9xtqwdhxkhw/edit?usp=sharing"",""สระบุรี!J241"")"),1249.3)</f>
        <v>1249.3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IFERROR(__xludf.DUMMYFUNCTION("IMPORTRANGE(""https://docs.google.com/spreadsheets/d/1SX6NBoVAgQJ6U1MVXOaj8PK2l7WJ3RER9xtqwdhxkhw/edit?usp=sharing"",""สระบุรี!L242"")"),1318814)</f>
        <v>1318814</v>
      </c>
      <c r="M347" s="358"/>
      <c r="N347" s="358">
        <f ca="1">IFERROR(__xludf.DUMMYFUNCTION("IMPORTRANGE(""https://docs.google.com/spreadsheets/d/1SX6NBoVAgQJ6U1MVXOaj8PK2l7WJ3RER9xtqwdhxkhw/edit?usp=sharing"",""สระบุรี!M242"")"),715269.679999999)</f>
        <v>715269.679999999</v>
      </c>
      <c r="O347" s="358">
        <f ca="1">+IF(L347&gt;0,N347*100/L347,0)</f>
        <v>54.235827038536058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IFERROR(__xludf.DUMMYFUNCTION("IMPORTRANGE(""https://docs.google.com/spreadsheets/d/1SX6NBoVAgQJ6U1MVXOaj8PK2l7WJ3RER9xtqwdhxkhw/edit?usp=sharing"",""สระบุรี!I244"")"),60)</f>
        <v>60</v>
      </c>
      <c r="J349" s="371">
        <f ca="1">IFERROR(__xludf.DUMMYFUNCTION("IMPORTRANGE(""https://docs.google.com/spreadsheets/d/1SX6NBoVAgQJ6U1MVXOaj8PK2l7WJ3RER9xtqwdhxkhw/edit?usp=sharing"",""สระบุรี!J244"")"),0)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IFERROR(__xludf.DUMMYFUNCTION("IMPORTRANGE(""https://docs.google.com/spreadsheets/d/1SX6NBoVAgQJ6U1MVXOaj8PK2l7WJ3RER9xtqwdhxkhw/edit?usp=sharing"",""สระบุรี!M244"")"),25880)</f>
        <v>25880</v>
      </c>
      <c r="O349" s="373">
        <f ca="1">+IF(L349&gt;0,N349*100/L349,0)</f>
        <v>27.79209621993127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IFERROR(__xludf.DUMMYFUNCTION("IMPORTRANGE(""https://docs.google.com/spreadsheets/d/1SX6NBoVAgQJ6U1MVXOaj8PK2l7WJ3RER9xtqwdhxkhw/edit?usp=sharing"",""สระบุรี!I245"")"),20)</f>
        <v>20</v>
      </c>
      <c r="J350" s="371">
        <f ca="1">IFERROR(__xludf.DUMMYFUNCTION("IMPORTRANGE(""https://docs.google.com/spreadsheets/d/1SX6NBoVAgQJ6U1MVXOaj8PK2l7WJ3RER9xtqwdhxkhw/edit?usp=sharing"",""สระบุรี!J245"")"),20)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IFERROR(__xludf.DUMMYFUNCTION("IMPORTRANGE(""https://docs.google.com/spreadsheets/d/1SX6NBoVAgQJ6U1MVXOaj8PK2l7WJ3RER9xtqwdhxkhw/edit?usp=sharing"",""สระบุรี!M246"")"),0)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IFERROR(__xludf.DUMMYFUNCTION("IMPORTRANGE(""https://docs.google.com/spreadsheets/d/1SX6NBoVAgQJ6U1MVXOaj8PK2l7WJ3RER9xtqwdhxkhw/edit?usp=sharing"",""สระบุรี!M247"")"),25880)</f>
        <v>25880</v>
      </c>
      <c r="O352" s="165">
        <f t="shared" ca="1" si="105"/>
        <v>27.79209621993127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IFERROR(__xludf.DUMMYFUNCTION("IMPORTRANGE(""https://docs.google.com/spreadsheets/d/1SX6NBoVAgQJ6U1MVXOaj8PK2l7WJ3RER9xtqwdhxkhw/edit?usp=sharing"",""สระบุรี!M248"")"),0)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IFERROR(__xludf.DUMMYFUNCTION("IMPORTRANGE(""https://docs.google.com/spreadsheets/d/1SX6NBoVAgQJ6U1MVXOaj8PK2l7WJ3RER9xtqwdhxkhw/edit?usp=sharing"",""สระบุรี!M249"")"),25880)</f>
        <v>25880</v>
      </c>
      <c r="O354" s="169">
        <f t="shared" ca="1" si="105"/>
        <v>27.79209621993127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IFERROR(__xludf.DUMMYFUNCTION("IMPORTRANGE(""https://docs.google.com/spreadsheets/d/1SX6NBoVAgQJ6U1MVXOaj8PK2l7WJ3RER9xtqwdhxkhw/edit?usp=sharing"",""สระบุรี!M250"")"),0)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IFERROR(__xludf.DUMMYFUNCTION("IMPORTRANGE(""https://docs.google.com/spreadsheets/d/1SX6NBoVAgQJ6U1MVXOaj8PK2l7WJ3RER9xtqwdhxkhw/edit?usp=sharing"",""สระบุรี!M251"")"),0)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IFERROR(__xludf.DUMMYFUNCTION("IMPORTRANGE(""https://docs.google.com/spreadsheets/d/1SX6NBoVAgQJ6U1MVXOaj8PK2l7WJ3RER9xtqwdhxkhw/edit?usp=sharing"",""สระบุรี!M252"")"),0)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IFERROR(__xludf.DUMMYFUNCTION("IMPORTRANGE(""https://docs.google.com/spreadsheets/d/1SX6NBoVAgQJ6U1MVXOaj8PK2l7WJ3RER9xtqwdhxkhw/edit?usp=sharing"",""สระบุรี!M253"")"),25880)</f>
        <v>25880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IFERROR(__xludf.DUMMYFUNCTION("IMPORTRANGE(""https://docs.google.com/spreadsheets/d/1SX6NBoVAgQJ6U1MVXOaj8PK2l7WJ3RER9xtqwdhxkhw/edit?usp=sharing"",""สระบุรี!I263"")"),20)</f>
        <v>20</v>
      </c>
      <c r="J368" s="188">
        <f ca="1">IFERROR(__xludf.DUMMYFUNCTION("IMPORTRANGE(""https://docs.google.com/spreadsheets/d/1SX6NBoVAgQJ6U1MVXOaj8PK2l7WJ3RER9xtqwdhxkhw/edit?usp=sharing"",""สระบุรี!J263"")"),20)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IFERROR(__xludf.DUMMYFUNCTION("IMPORTRANGE(""https://docs.google.com/spreadsheets/d/1SX6NBoVAgQJ6U1MVXOaj8PK2l7WJ3RER9xtqwdhxkhw/edit?usp=sharing"",""สระบุรี!I164"")"),0)</f>
        <v>0</v>
      </c>
      <c r="J369" s="204">
        <f ca="1">IFERROR(__xludf.DUMMYFUNCTION("IMPORTRANGE(""https://docs.google.com/spreadsheets/d/1SX6NBoVAgQJ6U1MVXOaj8PK2l7WJ3RER9xtqwdhxkhw/edit?usp=sharing"",""สระบุรี!J164"")"),0)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IFERROR(__xludf.DUMMYFUNCTION("IMPORTRANGE(""https://docs.google.com/spreadsheets/d/1SX6NBoVAgQJ6U1MVXOaj8PK2l7WJ3RER9xtqwdhxkhw/edit?usp=sharing"",""สระบุรี!I265"")"),20)</f>
        <v>20</v>
      </c>
      <c r="J370" s="204">
        <f ca="1">IFERROR(__xludf.DUMMYFUNCTION("IMPORTRANGE(""https://docs.google.com/spreadsheets/d/1SX6NBoVAgQJ6U1MVXOaj8PK2l7WJ3RER9xtqwdhxkhw/edit?usp=sharing"",""สระบุรี!J265"")"),20)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IFERROR(__xludf.DUMMYFUNCTION("IMPORTRANGE(""https://docs.google.com/spreadsheets/d/1SX6NBoVAgQJ6U1MVXOaj8PK2l7WJ3RER9xtqwdhxkhw/edit?usp=sharing"",""สระบุรี!I164"")"),0)</f>
        <v>0</v>
      </c>
      <c r="J371" s="189">
        <f ca="1">IFERROR(__xludf.DUMMYFUNCTION("IMPORTRANGE(""https://docs.google.com/spreadsheets/d/1SX6NBoVAgQJ6U1MVXOaj8PK2l7WJ3RER9xtqwdhxkhw/edit?usp=sharing"",""สระบุรี!J164"")"),0)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IFERROR(__xludf.DUMMYFUNCTION("IMPORTRANGE(""https://docs.google.com/spreadsheets/d/1SX6NBoVAgQJ6U1MVXOaj8PK2l7WJ3RER9xtqwdhxkhw/edit?usp=sharing"",""สระบุรี!I267"")"),20)</f>
        <v>20</v>
      </c>
      <c r="J372" s="189">
        <f ca="1">IFERROR(__xludf.DUMMYFUNCTION("IMPORTRANGE(""https://docs.google.com/spreadsheets/d/1SX6NBoVAgQJ6U1MVXOaj8PK2l7WJ3RER9xtqwdhxkhw/edit?usp=sharing"",""สระบุรี!J267"")"),20)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IFERROR(__xludf.DUMMYFUNCTION("IMPORTRANGE(""https://docs.google.com/spreadsheets/d/1SX6NBoVAgQJ6U1MVXOaj8PK2l7WJ3RER9xtqwdhxkhw/edit?usp=sharing"",""สระบุรี!I164"")"),0)</f>
        <v>0</v>
      </c>
      <c r="J373" s="204">
        <f ca="1">IFERROR(__xludf.DUMMYFUNCTION("IMPORTRANGE(""https://docs.google.com/spreadsheets/d/1SX6NBoVAgQJ6U1MVXOaj8PK2l7WJ3RER9xtqwdhxkhw/edit?usp=sharing"",""สระบุรี!J164"")"),0)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IFERROR(__xludf.DUMMYFUNCTION("IMPORTRANGE(""https://docs.google.com/spreadsheets/d/1SX6NBoVAgQJ6U1MVXOaj8PK2l7WJ3RER9xtqwdhxkhw/edit?usp=sharing"",""สระบุรี!I164"")"),0)</f>
        <v>0</v>
      </c>
      <c r="J374" s="188">
        <f ca="1">IFERROR(__xludf.DUMMYFUNCTION("IMPORTRANGE(""https://docs.google.com/spreadsheets/d/1SX6NBoVAgQJ6U1MVXOaj8PK2l7WJ3RER9xtqwdhxkhw/edit?usp=sharing"",""สระบุรี!J164"")"),0)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IFERROR(__xludf.DUMMYFUNCTION("IMPORTRANGE(""https://docs.google.com/spreadsheets/d/1SX6NBoVAgQJ6U1MVXOaj8PK2l7WJ3RER9xtqwdhxkhw/edit?usp=sharing"",""สระบุรี!I270"")"),60)</f>
        <v>60</v>
      </c>
      <c r="J375" s="188">
        <f ca="1">IFERROR(__xludf.DUMMYFUNCTION("IMPORTRANGE(""https://docs.google.com/spreadsheets/d/1SX6NBoVAgQJ6U1MVXOaj8PK2l7WJ3RER9xtqwdhxkhw/edit?usp=sharing"",""สระบุรี!J270"")"),0)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IFERROR(__xludf.DUMMYFUNCTION("IMPORTRANGE(""https://docs.google.com/spreadsheets/d/1SX6NBoVAgQJ6U1MVXOaj8PK2l7WJ3RER9xtqwdhxkhw/edit?usp=sharing"",""สระบุรี!I271"")"),0)</f>
        <v>0</v>
      </c>
      <c r="J376" s="189">
        <f ca="1">IFERROR(__xludf.DUMMYFUNCTION("IMPORTRANGE(""https://docs.google.com/spreadsheets/d/1SX6NBoVAgQJ6U1MVXOaj8PK2l7WJ3RER9xtqwdhxkhw/edit?usp=sharing"",""สระบุรี!J271"")"),0)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IFERROR(__xludf.DUMMYFUNCTION("IMPORTRANGE(""https://docs.google.com/spreadsheets/d/1SX6NBoVAgQJ6U1MVXOaj8PK2l7WJ3RER9xtqwdhxkhw/edit?usp=sharing"",""สระบุรี!I272"")"),60)</f>
        <v>60</v>
      </c>
      <c r="J377" s="204">
        <f ca="1">IFERROR(__xludf.DUMMYFUNCTION("IMPORTRANGE(""https://docs.google.com/spreadsheets/d/1SX6NBoVAgQJ6U1MVXOaj8PK2l7WJ3RER9xtqwdhxkhw/edit?usp=sharing"",""สระบุรี!J272"")"),0)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IFERROR(__xludf.DUMMYFUNCTION("IMPORTRANGE(""https://docs.google.com/spreadsheets/d/1SX6NBoVAgQJ6U1MVXOaj8PK2l7WJ3RER9xtqwdhxkhw/edit?usp=sharing"",""สระบุรี!J274"")"),0)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IFERROR(__xludf.DUMMYFUNCTION("IMPORTRANGE(""https://docs.google.com/spreadsheets/d/1SX6NBoVAgQJ6U1MVXOaj8PK2l7WJ3RER9xtqwdhxkhw/edit?usp=sharing"",""สระบุรี!I275"")"),200)</f>
        <v>200</v>
      </c>
      <c r="J380" s="371">
        <f ca="1">IFERROR(__xludf.DUMMYFUNCTION("IMPORTRANGE(""https://docs.google.com/spreadsheets/d/1SX6NBoVAgQJ6U1MVXOaj8PK2l7WJ3RER9xtqwdhxkhw/edit?usp=sharing"",""สระบุรี!J275"")"),0)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IFERROR(__xludf.DUMMYFUNCTION("IMPORTRANGE(""https://docs.google.com/spreadsheets/d/1SX6NBoVAgQJ6U1MVXOaj8PK2l7WJ3RER9xtqwdhxkhw/edit?usp=sharing"",""สระบุรี!L275"")"),207560)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IFERROR(__xludf.DUMMYFUNCTION("IMPORTRANGE(""https://docs.google.com/spreadsheets/d/1SX6NBoVAgQJ6U1MVXOaj8PK2l7WJ3RER9xtqwdhxkhw/edit?usp=sharing"",""สระบุรี!M275"")"),200620)</f>
        <v>200620</v>
      </c>
      <c r="O380" s="373">
        <f ca="1">+IF(L380&gt;0,N380*100/L380,0)</f>
        <v>96.656388514164576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IFERROR(__xludf.DUMMYFUNCTION("IMPORTRANGE(""https://docs.google.com/spreadsheets/d/1SX6NBoVAgQJ6U1MVXOaj8PK2l7WJ3RER9xtqwdhxkhw/edit?usp=sharing"",""สระบุรี!I276"")"),20)</f>
        <v>20</v>
      </c>
      <c r="J381" s="371">
        <f ca="1">IFERROR(__xludf.DUMMYFUNCTION("IMPORTRANGE(""https://docs.google.com/spreadsheets/d/1SX6NBoVAgQJ6U1MVXOaj8PK2l7WJ3RER9xtqwdhxkhw/edit?usp=sharing"",""สระบุรี!J276"")"),20)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IFERROR(__xludf.DUMMYFUNCTION("IMPORTRANGE(""https://docs.google.com/spreadsheets/d/1SX6NBoVAgQJ6U1MVXOaj8PK2l7WJ3RER9xtqwdhxkhw/edit?usp=sharing"",""สระบุรี!M277"")"),0)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IFERROR(__xludf.DUMMYFUNCTION("IMPORTRANGE(""https://docs.google.com/spreadsheets/d/1SX6NBoVAgQJ6U1MVXOaj8PK2l7WJ3RER9xtqwdhxkhw/edit?usp=sharing"",""สระบุรี!M278"")"),200620)</f>
        <v>200620</v>
      </c>
      <c r="O383" s="165">
        <f t="shared" ca="1" si="109"/>
        <v>96.656388514164576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IFERROR(__xludf.DUMMYFUNCTION("IMPORTRANGE(""https://docs.google.com/spreadsheets/d/1SX6NBoVAgQJ6U1MVXOaj8PK2l7WJ3RER9xtqwdhxkhw/edit?usp=sharing"",""สระบุรี!M279"")"),0)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IFERROR(__xludf.DUMMYFUNCTION("IMPORTRANGE(""https://docs.google.com/spreadsheets/d/1SX6NBoVAgQJ6U1MVXOaj8PK2l7WJ3RER9xtqwdhxkhw/edit?usp=sharing"",""สระบุรี!M280"")"),200620)</f>
        <v>200620</v>
      </c>
      <c r="O385" s="169">
        <f t="shared" ca="1" si="109"/>
        <v>96.656388514164576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IFERROR(__xludf.DUMMYFUNCTION("IMPORTRANGE(""https://docs.google.com/spreadsheets/d/1SX6NBoVAgQJ6U1MVXOaj8PK2l7WJ3RER9xtqwdhxkhw/edit?usp=sharing"",""สระบุรี!M281"")"),200620)</f>
        <v>200620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IFERROR(__xludf.DUMMYFUNCTION("IMPORTRANGE(""https://docs.google.com/spreadsheets/d/1SX6NBoVAgQJ6U1MVXOaj8PK2l7WJ3RER9xtqwdhxkhw/edit?usp=sharing"",""สระบุรี!M282"")"),0)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IFERROR(__xludf.DUMMYFUNCTION("IMPORTRANGE(""https://docs.google.com/spreadsheets/d/1SX6NBoVAgQJ6U1MVXOaj8PK2l7WJ3RER9xtqwdhxkhw/edit?usp=sharing"",""สระบุรี!M283"")"),0)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IFERROR(__xludf.DUMMYFUNCTION("IMPORTRANGE(""https://docs.google.com/spreadsheets/d/1SX6NBoVAgQJ6U1MVXOaj8PK2l7WJ3RER9xtqwdhxkhw/edit?usp=sharing"",""สระบุรี!M284"")"),0)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IFERROR(__xludf.DUMMYFUNCTION("IMPORTRANGE(""https://docs.google.com/spreadsheets/d/1SX6NBoVAgQJ6U1MVXOaj8PK2l7WJ3RER9xtqwdhxkhw/edit?usp=sharing"",""สระบุรี!I291"")"),20)</f>
        <v>20</v>
      </c>
      <c r="J396" s="198">
        <f ca="1">IFERROR(__xludf.DUMMYFUNCTION("IMPORTRANGE(""https://docs.google.com/spreadsheets/d/1SX6NBoVAgQJ6U1MVXOaj8PK2l7WJ3RER9xtqwdhxkhw/edit?usp=sharing"",""สระบุรี!J291"")"),20)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IFERROR(__xludf.DUMMYFUNCTION("IMPORTRANGE(""https://docs.google.com/spreadsheets/d/1SX6NBoVAgQJ6U1MVXOaj8PK2l7WJ3RER9xtqwdhxkhw/edit?usp=sharing"",""สระบุรี!I292"")"),200)</f>
        <v>200</v>
      </c>
      <c r="J397" s="198">
        <f ca="1">IFERROR(__xludf.DUMMYFUNCTION("IMPORTRANGE(""https://docs.google.com/spreadsheets/d/1SX6NBoVAgQJ6U1MVXOaj8PK2l7WJ3RER9xtqwdhxkhw/edit?usp=sharing"",""สระบุรี!J292"")"),0)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IFERROR(__xludf.DUMMYFUNCTION("IMPORTRANGE(""https://docs.google.com/spreadsheets/d/1SX6NBoVAgQJ6U1MVXOaj8PK2l7WJ3RER9xtqwdhxkhw/edit?usp=sharing"",""สระบุรี!I293"")"),20)</f>
        <v>20</v>
      </c>
      <c r="J398" s="198">
        <f ca="1">IFERROR(__xludf.DUMMYFUNCTION("IMPORTRANGE(""https://docs.google.com/spreadsheets/d/1SX6NBoVAgQJ6U1MVXOaj8PK2l7WJ3RER9xtqwdhxkhw/edit?usp=sharing"",""สระบุรี!J293"")"),0)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IFERROR(__xludf.DUMMYFUNCTION("IMPORTRANGE(""https://docs.google.com/spreadsheets/d/1SX6NBoVAgQJ6U1MVXOaj8PK2l7WJ3RER9xtqwdhxkhw/edit?usp=sharing"",""สระบุรี!J295"")"),0)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IFERROR(__xludf.DUMMYFUNCTION("IMPORTRANGE(""https://docs.google.com/spreadsheets/d/1SX6NBoVAgQJ6U1MVXOaj8PK2l7WJ3RER9xtqwdhxkhw/edit?usp=sharing"",""สระบุรี!I296"")"),90)</f>
        <v>90</v>
      </c>
      <c r="J401" s="371">
        <f ca="1">IFERROR(__xludf.DUMMYFUNCTION("IMPORTRANGE(""https://docs.google.com/spreadsheets/d/1SX6NBoVAgQJ6U1MVXOaj8PK2l7WJ3RER9xtqwdhxkhw/edit?usp=sharing"",""สระบุรี!J296"")"),0)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IFERROR(__xludf.DUMMYFUNCTION("IMPORTRANGE(""https://docs.google.com/spreadsheets/d/1SX6NBoVAgQJ6U1MVXOaj8PK2l7WJ3RER9xtqwdhxkhw/edit?usp=sharing"",""สระบุรี!L296"")"),101920)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IFERROR(__xludf.DUMMYFUNCTION("IMPORTRANGE(""https://docs.google.com/spreadsheets/d/1SX6NBoVAgQJ6U1MVXOaj8PK2l7WJ3RER9xtqwdhxkhw/edit?usp=sharing"",""สระบุรี!M296"")"),80519)</f>
        <v>80519</v>
      </c>
      <c r="O401" s="373">
        <f ca="1">+IF(L401&gt;0,N401*100/L401,0)</f>
        <v>79.002158555729977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IFERROR(__xludf.DUMMYFUNCTION("IMPORTRANGE(""https://docs.google.com/spreadsheets/d/1SX6NBoVAgQJ6U1MVXOaj8PK2l7WJ3RER9xtqwdhxkhw/edit?usp=sharing"",""สระบุรี!I297"")"),30)</f>
        <v>30</v>
      </c>
      <c r="J402" s="371">
        <f ca="1">IFERROR(__xludf.DUMMYFUNCTION("IMPORTRANGE(""https://docs.google.com/spreadsheets/d/1SX6NBoVAgQJ6U1MVXOaj8PK2l7WJ3RER9xtqwdhxkhw/edit?usp=sharing"",""สระบุรี!J297"")"),0)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IFERROR(__xludf.DUMMYFUNCTION("IMPORTRANGE(""https://docs.google.com/spreadsheets/d/1SX6NBoVAgQJ6U1MVXOaj8PK2l7WJ3RER9xtqwdhxkhw/edit?usp=sharing"",""สระบุรี!M298"")"),0)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IFERROR(__xludf.DUMMYFUNCTION("IMPORTRANGE(""https://docs.google.com/spreadsheets/d/1SX6NBoVAgQJ6U1MVXOaj8PK2l7WJ3RER9xtqwdhxkhw/edit?usp=sharing"",""สระบุรี!M299"")"),80519)</f>
        <v>80519</v>
      </c>
      <c r="O404" s="169">
        <f t="shared" ca="1" si="112"/>
        <v>79.002158555729977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IFERROR(__xludf.DUMMYFUNCTION("IMPORTRANGE(""https://docs.google.com/spreadsheets/d/1SX6NBoVAgQJ6U1MVXOaj8PK2l7WJ3RER9xtqwdhxkhw/edit?usp=sharing"",""สระบุรี!M300"")"),0)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IFERROR(__xludf.DUMMYFUNCTION("IMPORTRANGE(""https://docs.google.com/spreadsheets/d/1SX6NBoVAgQJ6U1MVXOaj8PK2l7WJ3RER9xtqwdhxkhw/edit?usp=sharing"",""สระบุรี!M301"")"),80519)</f>
        <v>80519</v>
      </c>
      <c r="O406" s="169">
        <f t="shared" ca="1" si="112"/>
        <v>79.002158555729977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IFERROR(__xludf.DUMMYFUNCTION("IMPORTRANGE(""https://docs.google.com/spreadsheets/d/1SX6NBoVAgQJ6U1MVXOaj8PK2l7WJ3RER9xtqwdhxkhw/edit?usp=sharing"",""สระบุรี!M302"")"),22982)</f>
        <v>22982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IFERROR(__xludf.DUMMYFUNCTION("IMPORTRANGE(""https://docs.google.com/spreadsheets/d/1SX6NBoVAgQJ6U1MVXOaj8PK2l7WJ3RER9xtqwdhxkhw/edit?usp=sharing"",""สระบุรี!M303"")"),0)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IFERROR(__xludf.DUMMYFUNCTION("IMPORTRANGE(""https://docs.google.com/spreadsheets/d/1SX6NBoVAgQJ6U1MVXOaj8PK2l7WJ3RER9xtqwdhxkhw/edit?usp=sharing"",""สระบุรี!M304"")"),0)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IFERROR(__xludf.DUMMYFUNCTION("IMPORTRANGE(""https://docs.google.com/spreadsheets/d/1SX6NBoVAgQJ6U1MVXOaj8PK2l7WJ3RER9xtqwdhxkhw/edit?usp=sharing"",""สระบุรี!M305"")"),57537)</f>
        <v>57537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IFERROR(__xludf.DUMMYFUNCTION("IMPORTRANGE(""https://docs.google.com/spreadsheets/d/1SX6NBoVAgQJ6U1MVXOaj8PK2l7WJ3RER9xtqwdhxkhw/edit?usp=sharing"",""สระบุรี!I311"")"),30)</f>
        <v>30</v>
      </c>
      <c r="J416" s="201">
        <f ca="1">IFERROR(__xludf.DUMMYFUNCTION("IMPORTRANGE(""https://docs.google.com/spreadsheets/d/1SX6NBoVAgQJ6U1MVXOaj8PK2l7WJ3RER9xtqwdhxkhw/edit?usp=sharing"",""สระบุรี!J311"")"),0)</f>
        <v>0</v>
      </c>
      <c r="K416" s="202">
        <f t="shared" ref="K416:K432" ca="1" si="113">IF(I416&gt;0,J416*100/I416,0)</f>
        <v>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IFERROR(__xludf.DUMMYFUNCTION("IMPORTRANGE(""https://docs.google.com/spreadsheets/d/1SX6NBoVAgQJ6U1MVXOaj8PK2l7WJ3RER9xtqwdhxkhw/edit?usp=sharing"",""สระบุรี!I312"")"),0)</f>
        <v>0</v>
      </c>
      <c r="J417" s="392">
        <f ca="1">IFERROR(__xludf.DUMMYFUNCTION("IMPORTRANGE(""https://docs.google.com/spreadsheets/d/1SX6NBoVAgQJ6U1MVXOaj8PK2l7WJ3RER9xtqwdhxkhw/edit?usp=sharing"",""สระบุรี!J312"")"),0)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IFERROR(__xludf.DUMMYFUNCTION("IMPORTRANGE(""https://docs.google.com/spreadsheets/d/1SX6NBoVAgQJ6U1MVXOaj8PK2l7WJ3RER9xtqwdhxkhw/edit?usp=sharing"",""สระบุรี!I313"")"),0)</f>
        <v>0</v>
      </c>
      <c r="J418" s="393">
        <f ca="1">IFERROR(__xludf.DUMMYFUNCTION("IMPORTRANGE(""https://docs.google.com/spreadsheets/d/1SX6NBoVAgQJ6U1MVXOaj8PK2l7WJ3RER9xtqwdhxkhw/edit?usp=sharing"",""สระบุรี!J313"")"),0)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IFERROR(__xludf.DUMMYFUNCTION("IMPORTRANGE(""https://docs.google.com/spreadsheets/d/1SX6NBoVAgQJ6U1MVXOaj8PK2l7WJ3RER9xtqwdhxkhw/edit?usp=sharing"",""สระบุรี!I314"")"),0)</f>
        <v>0</v>
      </c>
      <c r="J419" s="394">
        <f ca="1">IFERROR(__xludf.DUMMYFUNCTION("IMPORTRANGE(""https://docs.google.com/spreadsheets/d/1SX6NBoVAgQJ6U1MVXOaj8PK2l7WJ3RER9xtqwdhxkhw/edit?usp=sharing"",""สระบุรี!J314"")"),0)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IFERROR(__xludf.DUMMYFUNCTION("IMPORTRANGE(""https://docs.google.com/spreadsheets/d/1SX6NBoVAgQJ6U1MVXOaj8PK2l7WJ3RER9xtqwdhxkhw/edit?usp=sharing"",""สระบุรี!I315"")"),0)</f>
        <v>0</v>
      </c>
      <c r="J420" s="394">
        <f ca="1">IFERROR(__xludf.DUMMYFUNCTION("IMPORTRANGE(""https://docs.google.com/spreadsheets/d/1SX6NBoVAgQJ6U1MVXOaj8PK2l7WJ3RER9xtqwdhxkhw/edit?usp=sharing"",""สระบุรี!J315"")"),0)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IFERROR(__xludf.DUMMYFUNCTION("IMPORTRANGE(""https://docs.google.com/spreadsheets/d/1SX6NBoVAgQJ6U1MVXOaj8PK2l7WJ3RER9xtqwdhxkhw/edit?usp=sharing"",""สระบุรี!I316"")"),20)</f>
        <v>20</v>
      </c>
      <c r="J421" s="392">
        <f ca="1">IFERROR(__xludf.DUMMYFUNCTION("IMPORTRANGE(""https://docs.google.com/spreadsheets/d/1SX6NBoVAgQJ6U1MVXOaj8PK2l7WJ3RER9xtqwdhxkhw/edit?usp=sharing"",""สระบุรี!J316"")"),0)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IFERROR(__xludf.DUMMYFUNCTION("IMPORTRANGE(""https://docs.google.com/spreadsheets/d/1SX6NBoVAgQJ6U1MVXOaj8PK2l7WJ3RER9xtqwdhxkhw/edit?usp=sharing"",""สระบุรี!I317"")"),60)</f>
        <v>60</v>
      </c>
      <c r="J422" s="393">
        <f ca="1">IFERROR(__xludf.DUMMYFUNCTION("IMPORTRANGE(""https://docs.google.com/spreadsheets/d/1SX6NBoVAgQJ6U1MVXOaj8PK2l7WJ3RER9xtqwdhxkhw/edit?usp=sharing"",""สระบุรี!J317"")"),0)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IFERROR(__xludf.DUMMYFUNCTION("IMPORTRANGE(""https://docs.google.com/spreadsheets/d/1SX6NBoVAgQJ6U1MVXOaj8PK2l7WJ3RER9xtqwdhxkhw/edit?usp=sharing"",""สระบุรี!I318"")"),20)</f>
        <v>20</v>
      </c>
      <c r="J423" s="394">
        <f ca="1">IFERROR(__xludf.DUMMYFUNCTION("IMPORTRANGE(""https://docs.google.com/spreadsheets/d/1SX6NBoVAgQJ6U1MVXOaj8PK2l7WJ3RER9xtqwdhxkhw/edit?usp=sharing"",""สระบุรี!J318"")"),20)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IFERROR(__xludf.DUMMYFUNCTION("IMPORTRANGE(""https://docs.google.com/spreadsheets/d/1SX6NBoVAgQJ6U1MVXOaj8PK2l7WJ3RER9xtqwdhxkhw/edit?usp=sharing"",""สระบุรี!I319"")"),20)</f>
        <v>20</v>
      </c>
      <c r="J424" s="394">
        <f ca="1">IFERROR(__xludf.DUMMYFUNCTION("IMPORTRANGE(""https://docs.google.com/spreadsheets/d/1SX6NBoVAgQJ6U1MVXOaj8PK2l7WJ3RER9xtqwdhxkhw/edit?usp=sharing"",""สระบุรี!J319"")"),0)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IFERROR(__xludf.DUMMYFUNCTION("IMPORTRANGE(""https://docs.google.com/spreadsheets/d/1SX6NBoVAgQJ6U1MVXOaj8PK2l7WJ3RER9xtqwdhxkhw/edit?usp=sharing"",""สระบุรี!I320"")"),20)</f>
        <v>20</v>
      </c>
      <c r="J425" s="394">
        <f ca="1">IFERROR(__xludf.DUMMYFUNCTION("IMPORTRANGE(""https://docs.google.com/spreadsheets/d/1SX6NBoVAgQJ6U1MVXOaj8PK2l7WJ3RER9xtqwdhxkhw/edit?usp=sharing"",""สระบุรี!J320"")"),0)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IFERROR(__xludf.DUMMYFUNCTION("IMPORTRANGE(""https://docs.google.com/spreadsheets/d/1SX6NBoVAgQJ6U1MVXOaj8PK2l7WJ3RER9xtqwdhxkhw/edit?usp=sharing"",""สระบุรี!I321"")"),10)</f>
        <v>10</v>
      </c>
      <c r="J426" s="392">
        <f ca="1">IFERROR(__xludf.DUMMYFUNCTION("IMPORTRANGE(""https://docs.google.com/spreadsheets/d/1SX6NBoVAgQJ6U1MVXOaj8PK2l7WJ3RER9xtqwdhxkhw/edit?usp=sharing"",""สระบุรี!J321"")"),0)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IFERROR(__xludf.DUMMYFUNCTION("IMPORTRANGE(""https://docs.google.com/spreadsheets/d/1SX6NBoVAgQJ6U1MVXOaj8PK2l7WJ3RER9xtqwdhxkhw/edit?usp=sharing"",""สระบุรี!I322"")"),30)</f>
        <v>30</v>
      </c>
      <c r="J427" s="393">
        <f ca="1">IFERROR(__xludf.DUMMYFUNCTION("IMPORTRANGE(""https://docs.google.com/spreadsheets/d/1SX6NBoVAgQJ6U1MVXOaj8PK2l7WJ3RER9xtqwdhxkhw/edit?usp=sharing"",""สระบุรี!J322"")"),0)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IFERROR(__xludf.DUMMYFUNCTION("IMPORTRANGE(""https://docs.google.com/spreadsheets/d/1SX6NBoVAgQJ6U1MVXOaj8PK2l7WJ3RER9xtqwdhxkhw/edit?usp=sharing"",""สระบุรี!I323"")"),10)</f>
        <v>10</v>
      </c>
      <c r="J428" s="394">
        <f ca="1">IFERROR(__xludf.DUMMYFUNCTION("IMPORTRANGE(""https://docs.google.com/spreadsheets/d/1SX6NBoVAgQJ6U1MVXOaj8PK2l7WJ3RER9xtqwdhxkhw/edit?usp=sharing"",""สระบุรี!J323"")"),10)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IFERROR(__xludf.DUMMYFUNCTION("IMPORTRANGE(""https://docs.google.com/spreadsheets/d/1SX6NBoVAgQJ6U1MVXOaj8PK2l7WJ3RER9xtqwdhxkhw/edit?usp=sharing"",""สระบุรี!I324"")"),10)</f>
        <v>10</v>
      </c>
      <c r="J429" s="394">
        <f ca="1">IFERROR(__xludf.DUMMYFUNCTION("IMPORTRANGE(""https://docs.google.com/spreadsheets/d/1SX6NBoVAgQJ6U1MVXOaj8PK2l7WJ3RER9xtqwdhxkhw/edit?usp=sharing"",""สระบุรี!J324"")"),0)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IFERROR(__xludf.DUMMYFUNCTION("IMPORTRANGE(""https://docs.google.com/spreadsheets/d/1SX6NBoVAgQJ6U1MVXOaj8PK2l7WJ3RER9xtqwdhxkhw/edit?usp=sharing"",""สระบุรี!I325"")"),20)</f>
        <v>20</v>
      </c>
      <c r="J430" s="392">
        <f ca="1">IFERROR(__xludf.DUMMYFUNCTION("IMPORTRANGE(""https://docs.google.com/spreadsheets/d/1SX6NBoVAgQJ6U1MVXOaj8PK2l7WJ3RER9xtqwdhxkhw/edit?usp=sharing"",""สระบุรี!J325"")"),0)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IFERROR(__xludf.DUMMYFUNCTION("IMPORTRANGE(""https://docs.google.com/spreadsheets/d/1SX6NBoVAgQJ6U1MVXOaj8PK2l7WJ3RER9xtqwdhxkhw/edit?usp=sharing"",""สระบุรี!I326"")"),0)</f>
        <v>0</v>
      </c>
      <c r="J431" s="394">
        <f ca="1">IFERROR(__xludf.DUMMYFUNCTION("IMPORTRANGE(""https://docs.google.com/spreadsheets/d/1SX6NBoVAgQJ6U1MVXOaj8PK2l7WJ3RER9xtqwdhxkhw/edit?usp=sharing"",""สระบุรี!J326"")"),0)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IFERROR(__xludf.DUMMYFUNCTION("IMPORTRANGE(""https://docs.google.com/spreadsheets/d/1SX6NBoVAgQJ6U1MVXOaj8PK2l7WJ3RER9xtqwdhxkhw/edit?usp=sharing"",""สระบุรี!I327"")"),20)</f>
        <v>20</v>
      </c>
      <c r="J432" s="394">
        <f ca="1">IFERROR(__xludf.DUMMYFUNCTION("IMPORTRANGE(""https://docs.google.com/spreadsheets/d/1SX6NBoVAgQJ6U1MVXOaj8PK2l7WJ3RER9xtqwdhxkhw/edit?usp=sharing"",""สระบุรี!J327"")"),0)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IFERROR(__xludf.DUMMYFUNCTION("IMPORTRANGE(""https://docs.google.com/spreadsheets/d/1SX6NBoVAgQJ6U1MVXOaj8PK2l7WJ3RER9xtqwdhxkhw/edit?usp=sharing"",""สระบุรี!J329"")"),0)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IFERROR(__xludf.DUMMYFUNCTION("IMPORTRANGE(""https://docs.google.com/spreadsheets/d/1SX6NBoVAgQJ6U1MVXOaj8PK2l7WJ3RER9xtqwdhxkhw/edit?usp=sharing"",""สระบุรี!I330"")"),15)</f>
        <v>15</v>
      </c>
      <c r="J435" s="410">
        <f ca="1">IFERROR(__xludf.DUMMYFUNCTION("IMPORTRANGE(""https://docs.google.com/spreadsheets/d/1SX6NBoVAgQJ6U1MVXOaj8PK2l7WJ3RER9xtqwdhxkhw/edit?usp=sharing"",""สระบุรี!J330"")"),15)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IFERROR(__xludf.DUMMYFUNCTION("IMPORTRANGE(""https://docs.google.com/spreadsheets/d/1SX6NBoVAgQJ6U1MVXOaj8PK2l7WJ3RER9xtqwdhxkhw/edit?usp=sharing"",""สระบุรี!M330"")"),49080)</f>
        <v>49080</v>
      </c>
      <c r="O435" s="412">
        <f t="shared" ref="O435:O439" ca="1" si="114">+IF(L435&gt;0,N435*100/L435,0)</f>
        <v>55.772727272727273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IFERROR(__xludf.DUMMYFUNCTION("IMPORTRANGE(""https://docs.google.com/spreadsheets/d/1SX6NBoVAgQJ6U1MVXOaj8PK2l7WJ3RER9xtqwdhxkhw/edit?usp=sharing"",""สระบุรี!M331"")"),0)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IFERROR(__xludf.DUMMYFUNCTION("IMPORTRANGE(""https://docs.google.com/spreadsheets/d/1SX6NBoVAgQJ6U1MVXOaj8PK2l7WJ3RER9xtqwdhxkhw/edit?usp=sharing"",""สระบุรี!M332"")"),49080)</f>
        <v>49080</v>
      </c>
      <c r="O437" s="169">
        <f t="shared" ca="1" si="114"/>
        <v>55.772727272727273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IFERROR(__xludf.DUMMYFUNCTION("IMPORTRANGE(""https://docs.google.com/spreadsheets/d/1SX6NBoVAgQJ6U1MVXOaj8PK2l7WJ3RER9xtqwdhxkhw/edit?usp=sharing"",""สระบุรี!M333"")"),0)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IFERROR(__xludf.DUMMYFUNCTION("IMPORTRANGE(""https://docs.google.com/spreadsheets/d/1SX6NBoVAgQJ6U1MVXOaj8PK2l7WJ3RER9xtqwdhxkhw/edit?usp=sharing"",""สระบุรี!M334"")"),49080)</f>
        <v>49080</v>
      </c>
      <c r="O439" s="169">
        <f t="shared" ca="1" si="114"/>
        <v>55.772727272727273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IFERROR(__xludf.DUMMYFUNCTION("IMPORTRANGE(""https://docs.google.com/spreadsheets/d/1SX6NBoVAgQJ6U1MVXOaj8PK2l7WJ3RER9xtqwdhxkhw/edit?usp=sharing"",""สระบุรี!M335"")"),0)</f>
        <v>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IFERROR(__xludf.DUMMYFUNCTION("IMPORTRANGE(""https://docs.google.com/spreadsheets/d/1SX6NBoVAgQJ6U1MVXOaj8PK2l7WJ3RER9xtqwdhxkhw/edit?usp=sharing"",""สระบุรี!M336"")"),0)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IFERROR(__xludf.DUMMYFUNCTION("IMPORTRANGE(""https://docs.google.com/spreadsheets/d/1SX6NBoVAgQJ6U1MVXOaj8PK2l7WJ3RER9xtqwdhxkhw/edit?usp=sharing"",""สระบุรี!M337"")"),0)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IFERROR(__xludf.DUMMYFUNCTION("IMPORTRANGE(""https://docs.google.com/spreadsheets/d/1SX6NBoVAgQJ6U1MVXOaj8PK2l7WJ3RER9xtqwdhxkhw/edit?usp=sharing"",""สระบุรี!M338"")"),49080)</f>
        <v>49080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IFERROR(__xludf.DUMMYFUNCTION("IMPORTRANGE(""https://docs.google.com/spreadsheets/d/1SX6NBoVAgQJ6U1MVXOaj8PK2l7WJ3RER9xtqwdhxkhw/edit?usp=sharing"",""สระบุรี!J340"")"),0)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IFERROR(__xludf.DUMMYFUNCTION("IMPORTRANGE(""https://docs.google.com/spreadsheets/d/1SX6NBoVAgQJ6U1MVXOaj8PK2l7WJ3RER9xtqwdhxkhw/edit?usp=sharing"",""สระบุรี!I344"")"),15)</f>
        <v>15</v>
      </c>
      <c r="J449" s="201">
        <f ca="1">IFERROR(__xludf.DUMMYFUNCTION("IMPORTRANGE(""https://docs.google.com/spreadsheets/d/1SX6NBoVAgQJ6U1MVXOaj8PK2l7WJ3RER9xtqwdhxkhw/edit?usp=sharing"",""สระบุรี!J344"")"),15)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IFERROR(__xludf.DUMMYFUNCTION("IMPORTRANGE(""https://docs.google.com/spreadsheets/d/1SX6NBoVAgQJ6U1MVXOaj8PK2l7WJ3RER9xtqwdhxkhw/edit?usp=sharing"",""สระบุรี!I345"")"),15)</f>
        <v>15</v>
      </c>
      <c r="J450" s="189">
        <f ca="1">IFERROR(__xludf.DUMMYFUNCTION("IMPORTRANGE(""https://docs.google.com/spreadsheets/d/1SX6NBoVAgQJ6U1MVXOaj8PK2l7WJ3RER9xtqwdhxkhw/edit?usp=sharing"",""สระบุรี!J345"")"),15)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IFERROR(__xludf.DUMMYFUNCTION("IMPORTRANGE(""https://docs.google.com/spreadsheets/d/1SX6NBoVAgQJ6U1MVXOaj8PK2l7WJ3RER9xtqwdhxkhw/edit?usp=sharing"",""สระบุรี!I346"")"),0)</f>
        <v>0</v>
      </c>
      <c r="J451" s="188">
        <f ca="1">IFERROR(__xludf.DUMMYFUNCTION("IMPORTRANGE(""https://docs.google.com/spreadsheets/d/1SX6NBoVAgQJ6U1MVXOaj8PK2l7WJ3RER9xtqwdhxkhw/edit?usp=sharing"",""สระบุรี!J346"")"),0)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IFERROR(__xludf.DUMMYFUNCTION("IMPORTRANGE(""https://docs.google.com/spreadsheets/d/1SX6NBoVAgQJ6U1MVXOaj8PK2l7WJ3RER9xtqwdhxkhw/edit?usp=sharing"",""สระบุรี!I347"")"),0)</f>
        <v>0</v>
      </c>
      <c r="J452" s="188">
        <f ca="1">IFERROR(__xludf.DUMMYFUNCTION("IMPORTRANGE(""https://docs.google.com/spreadsheets/d/1SX6NBoVAgQJ6U1MVXOaj8PK2l7WJ3RER9xtqwdhxkhw/edit?usp=sharing"",""สระบุรี!J347"")"),0)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IFERROR(__xludf.DUMMYFUNCTION("IMPORTRANGE(""https://docs.google.com/spreadsheets/d/1SX6NBoVAgQJ6U1MVXOaj8PK2l7WJ3RER9xtqwdhxkhw/edit?usp=sharing"",""สระบุรี!J349"")"),0)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IFERROR(__xludf.DUMMYFUNCTION("IMPORTRANGE(""https://docs.google.com/spreadsheets/d/1SX6NBoVAgQJ6U1MVXOaj8PK2l7WJ3RER9xtqwdhxkhw/edit?usp=sharing"",""สระบุรี!I350"")"),4949)</f>
        <v>4949</v>
      </c>
      <c r="J455" s="371">
        <f ca="1">IFERROR(__xludf.DUMMYFUNCTION("IMPORTRANGE(""https://docs.google.com/spreadsheets/d/1SX6NBoVAgQJ6U1MVXOaj8PK2l7WJ3RER9xtqwdhxkhw/edit?usp=sharing"",""สระบุรี!J350"")"),4950)</f>
        <v>4950</v>
      </c>
      <c r="K455" s="372">
        <f ca="1">IF(I455&gt;0,J455*100/I455,0)</f>
        <v>100.02020610224288</v>
      </c>
      <c r="L455" s="373">
        <f ca="1">IFERROR(__xludf.DUMMYFUNCTION("IMPORTRANGE(""https://docs.google.com/spreadsheets/d/1SX6NBoVAgQJ6U1MVXOaj8PK2l7WJ3RER9xtqwdhxkhw/edit?usp=sharing"",""สระบุรี!L350"")"),285044)</f>
        <v>285044</v>
      </c>
      <c r="M455" s="373"/>
      <c r="N455" s="373">
        <f ca="1">IFERROR(__xludf.DUMMYFUNCTION("IMPORTRANGE(""https://docs.google.com/spreadsheets/d/1SX6NBoVAgQJ6U1MVXOaj8PK2l7WJ3RER9xtqwdhxkhw/edit?usp=sharing"",""สระบุรี!M350"")"),104234)</f>
        <v>104234</v>
      </c>
      <c r="O455" s="373">
        <f t="shared" ref="O455:O459" ca="1" si="116">+IF(L455&gt;0,N455*100/L455,0)</f>
        <v>36.567687795568403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IFERROR(__xludf.DUMMYFUNCTION("IMPORTRANGE(""https://docs.google.com/spreadsheets/d/1SX6NBoVAgQJ6U1MVXOaj8PK2l7WJ3RER9xtqwdhxkhw/edit?usp=sharing"",""สระบุรี!M351"")"),0)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IFERROR(__xludf.DUMMYFUNCTION("IMPORTRANGE(""https://docs.google.com/spreadsheets/d/1SX6NBoVAgQJ6U1MVXOaj8PK2l7WJ3RER9xtqwdhxkhw/edit?usp=sharing"",""สระบุรี!L352"")"),285044)</f>
        <v>285044</v>
      </c>
      <c r="M457" s="165"/>
      <c r="N457" s="169">
        <f ca="1">IFERROR(__xludf.DUMMYFUNCTION("IMPORTRANGE(""https://docs.google.com/spreadsheets/d/1SX6NBoVAgQJ6U1MVXOaj8PK2l7WJ3RER9xtqwdhxkhw/edit?usp=sharing"",""สระบุรี!M352"")"),104234)</f>
        <v>104234</v>
      </c>
      <c r="O457" s="169">
        <f t="shared" ca="1" si="116"/>
        <v>36.567687795568403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IFERROR(__xludf.DUMMYFUNCTION("IMPORTRANGE(""https://docs.google.com/spreadsheets/d/1SX6NBoVAgQJ6U1MVXOaj8PK2l7WJ3RER9xtqwdhxkhw/edit?usp=sharing"",""สระบุรี!M353"")"),0)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IFERROR(__xludf.DUMMYFUNCTION("IMPORTRANGE(""https://docs.google.com/spreadsheets/d/1SX6NBoVAgQJ6U1MVXOaj8PK2l7WJ3RER9xtqwdhxkhw/edit?usp=sharing"",""สระบุรี!L354"")"),285044)</f>
        <v>285044</v>
      </c>
      <c r="M459" s="169"/>
      <c r="N459" s="169">
        <f ca="1">IFERROR(__xludf.DUMMYFUNCTION("IMPORTRANGE(""https://docs.google.com/spreadsheets/d/1SX6NBoVAgQJ6U1MVXOaj8PK2l7WJ3RER9xtqwdhxkhw/edit?usp=sharing"",""สระบุรี!M354"")"),104234)</f>
        <v>104234</v>
      </c>
      <c r="O459" s="169">
        <f t="shared" ca="1" si="116"/>
        <v>36.567687795568403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IFERROR(__xludf.DUMMYFUNCTION("IMPORTRANGE(""https://docs.google.com/spreadsheets/d/1SX6NBoVAgQJ6U1MVXOaj8PK2l7WJ3RER9xtqwdhxkhw/edit?usp=sharing"",""สระบุรี!M355"")"),0)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IFERROR(__xludf.DUMMYFUNCTION("IMPORTRANGE(""https://docs.google.com/spreadsheets/d/1SX6NBoVAgQJ6U1MVXOaj8PK2l7WJ3RER9xtqwdhxkhw/edit?usp=sharing"",""สระบุรี!M356"")"),0)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IFERROR(__xludf.DUMMYFUNCTION("IMPORTRANGE(""https://docs.google.com/spreadsheets/d/1SX6NBoVAgQJ6U1MVXOaj8PK2l7WJ3RER9xtqwdhxkhw/edit?usp=sharing"",""สระบุรี!M357"")"),0)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IFERROR(__xludf.DUMMYFUNCTION("IMPORTRANGE(""https://docs.google.com/spreadsheets/d/1SX6NBoVAgQJ6U1MVXOaj8PK2l7WJ3RER9xtqwdhxkhw/edit?usp=sharing"",""สระบุรี!M358"")"),104234)</f>
        <v>104234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IFERROR(__xludf.DUMMYFUNCTION("IMPORTRANGE(""https://docs.google.com/spreadsheets/d/1SX6NBoVAgQJ6U1MVXOaj8PK2l7WJ3RER9xtqwdhxkhw/edit?usp=sharing"",""สระบุรี!I359"")"),4949)</f>
        <v>4949</v>
      </c>
      <c r="J464" s="267">
        <f ca="1">IFERROR(__xludf.DUMMYFUNCTION("IMPORTRANGE(""https://docs.google.com/spreadsheets/d/1SX6NBoVAgQJ6U1MVXOaj8PK2l7WJ3RER9xtqwdhxkhw/edit?usp=sharing"",""สระบุรี!J359"")"),4950)</f>
        <v>4950</v>
      </c>
      <c r="K464" s="268">
        <f t="shared" ref="K464:K515" ca="1" si="117">IF(I464&gt;0,J464*100/I464,0)</f>
        <v>100.02020610224288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IFERROR(__xludf.DUMMYFUNCTION("IMPORTRANGE(""https://docs.google.com/spreadsheets/d/1SX6NBoVAgQJ6U1MVXOaj8PK2l7WJ3RER9xtqwdhxkhw/edit?usp=sharing"",""สระบุรี!I360"")"),4949)</f>
        <v>4949</v>
      </c>
      <c r="J465" s="420">
        <f ca="1">IFERROR(__xludf.DUMMYFUNCTION("IMPORTRANGE(""https://docs.google.com/spreadsheets/d/1SX6NBoVAgQJ6U1MVXOaj8PK2l7WJ3RER9xtqwdhxkhw/edit?usp=sharing"",""สระบุรี!J360"")"),4959)</f>
        <v>4959</v>
      </c>
      <c r="K465" s="202">
        <f t="shared" ca="1" si="117"/>
        <v>100.20206102242878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IFERROR(__xludf.DUMMYFUNCTION("IMPORTRANGE(""https://docs.google.com/spreadsheets/d/1SX6NBoVAgQJ6U1MVXOaj8PK2l7WJ3RER9xtqwdhxkhw/edit?usp=sharing"",""สระบุรี!I361"")"),856)</f>
        <v>856</v>
      </c>
      <c r="J466" s="420">
        <f ca="1">IFERROR(__xludf.DUMMYFUNCTION("IMPORTRANGE(""https://docs.google.com/spreadsheets/d/1SX6NBoVAgQJ6U1MVXOaj8PK2l7WJ3RER9xtqwdhxkhw/edit?usp=sharing"",""สระบุรี!J361"")"),856)</f>
        <v>856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IFERROR(__xludf.DUMMYFUNCTION("IMPORTRANGE(""https://docs.google.com/spreadsheets/d/1SX6NBoVAgQJ6U1MVXOaj8PK2l7WJ3RER9xtqwdhxkhw/edit?usp=sharing"",""สระบุรี!I362"")"),0)</f>
        <v>0</v>
      </c>
      <c r="J467" s="189">
        <f ca="1">IFERROR(__xludf.DUMMYFUNCTION("IMPORTRANGE(""https://docs.google.com/spreadsheets/d/1SX6NBoVAgQJ6U1MVXOaj8PK2l7WJ3RER9xtqwdhxkhw/edit?usp=sharing"",""สระบุรี!J362"")"),3371)</f>
        <v>3371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IFERROR(__xludf.DUMMYFUNCTION("IMPORTRANGE(""https://docs.google.com/spreadsheets/d/1SX6NBoVAgQJ6U1MVXOaj8PK2l7WJ3RER9xtqwdhxkhw/edit?usp=sharing"",""สระบุรี!I363"")"),0)</f>
        <v>0</v>
      </c>
      <c r="J468" s="189">
        <f ca="1">IFERROR(__xludf.DUMMYFUNCTION("IMPORTRANGE(""https://docs.google.com/spreadsheets/d/1SX6NBoVAgQJ6U1MVXOaj8PK2l7WJ3RER9xtqwdhxkhw/edit?usp=sharing"",""สระบุรี!J363"")"),600)</f>
        <v>600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IFERROR(__xludf.DUMMYFUNCTION("IMPORTRANGE(""https://docs.google.com/spreadsheets/d/1SX6NBoVAgQJ6U1MVXOaj8PK2l7WJ3RER9xtqwdhxkhw/edit?usp=sharing"",""สระบุรี!I364"")"),0)</f>
        <v>0</v>
      </c>
      <c r="J469" s="189">
        <f ca="1">IFERROR(__xludf.DUMMYFUNCTION("IMPORTRANGE(""https://docs.google.com/spreadsheets/d/1SX6NBoVAgQJ6U1MVXOaj8PK2l7WJ3RER9xtqwdhxkhw/edit?usp=sharing"",""สระบุรี!J364"")"),599)</f>
        <v>599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IFERROR(__xludf.DUMMYFUNCTION("IMPORTRANGE(""https://docs.google.com/spreadsheets/d/1SX6NBoVAgQJ6U1MVXOaj8PK2l7WJ3RER9xtqwdhxkhw/edit?usp=sharing"",""สระบุรี!I365"")"),0)</f>
        <v>0</v>
      </c>
      <c r="J470" s="189">
        <f ca="1">IFERROR(__xludf.DUMMYFUNCTION("IMPORTRANGE(""https://docs.google.com/spreadsheets/d/1SX6NBoVAgQJ6U1MVXOaj8PK2l7WJ3RER9xtqwdhxkhw/edit?usp=sharing"",""สระบุรี!J365"")"),123)</f>
        <v>123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IFERROR(__xludf.DUMMYFUNCTION("IMPORTRANGE(""https://docs.google.com/spreadsheets/d/1SX6NBoVAgQJ6U1MVXOaj8PK2l7WJ3RER9xtqwdhxkhw/edit?usp=sharing"",""สระบุรี!I366"")"),0)</f>
        <v>0</v>
      </c>
      <c r="J471" s="189">
        <f ca="1">IFERROR(__xludf.DUMMYFUNCTION("IMPORTRANGE(""https://docs.google.com/spreadsheets/d/1SX6NBoVAgQJ6U1MVXOaj8PK2l7WJ3RER9xtqwdhxkhw/edit?usp=sharing"",""สระบุรี!J366"")"),989)</f>
        <v>989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IFERROR(__xludf.DUMMYFUNCTION("IMPORTRANGE(""https://docs.google.com/spreadsheets/d/1SX6NBoVAgQJ6U1MVXOaj8PK2l7WJ3RER9xtqwdhxkhw/edit?usp=sharing"",""สระบุรี!I367"")"),0)</f>
        <v>0</v>
      </c>
      <c r="J472" s="189">
        <f ca="1">IFERROR(__xludf.DUMMYFUNCTION("IMPORTRANGE(""https://docs.google.com/spreadsheets/d/1SX6NBoVAgQJ6U1MVXOaj8PK2l7WJ3RER9xtqwdhxkhw/edit?usp=sharing"",""สระบุรี!J367"")"),133)</f>
        <v>133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IFERROR(__xludf.DUMMYFUNCTION("IMPORTRANGE(""https://docs.google.com/spreadsheets/d/1SX6NBoVAgQJ6U1MVXOaj8PK2l7WJ3RER9xtqwdhxkhw/edit?usp=sharing"",""สระบุรี!I368"")"),4949)</f>
        <v>4949</v>
      </c>
      <c r="J473" s="420">
        <f ca="1">IFERROR(__xludf.DUMMYFUNCTION("IMPORTRANGE(""https://docs.google.com/spreadsheets/d/1SX6NBoVAgQJ6U1MVXOaj8PK2l7WJ3RER9xtqwdhxkhw/edit?usp=sharing"",""สระบุรี!J368"")"),4950)</f>
        <v>4950</v>
      </c>
      <c r="K473" s="202">
        <f t="shared" ca="1" si="117"/>
        <v>100.02020610224288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IFERROR(__xludf.DUMMYFUNCTION("IMPORTRANGE(""https://docs.google.com/spreadsheets/d/1SX6NBoVAgQJ6U1MVXOaj8PK2l7WJ3RER9xtqwdhxkhw/edit?usp=sharing"",""สระบุรี!I369"")"),856)</f>
        <v>856</v>
      </c>
      <c r="J474" s="420">
        <f ca="1">IFERROR(__xludf.DUMMYFUNCTION("IMPORTRANGE(""https://docs.google.com/spreadsheets/d/1SX6NBoVAgQJ6U1MVXOaj8PK2l7WJ3RER9xtqwdhxkhw/edit?usp=sharing"",""สระบุรี!J369"")"),856)</f>
        <v>856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IFERROR(__xludf.DUMMYFUNCTION("IMPORTRANGE(""https://docs.google.com/spreadsheets/d/1SX6NBoVAgQJ6U1MVXOaj8PK2l7WJ3RER9xtqwdhxkhw/edit?usp=sharing"",""สระบุรี!I370"")"),0)</f>
        <v>0</v>
      </c>
      <c r="J475" s="189">
        <f ca="1">IFERROR(__xludf.DUMMYFUNCTION("IMPORTRANGE(""https://docs.google.com/spreadsheets/d/1SX6NBoVAgQJ6U1MVXOaj8PK2l7WJ3RER9xtqwdhxkhw/edit?usp=sharing"",""สระบุรี!J370"")"),3351)</f>
        <v>3351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IFERROR(__xludf.DUMMYFUNCTION("IMPORTRANGE(""https://docs.google.com/spreadsheets/d/1SX6NBoVAgQJ6U1MVXOaj8PK2l7WJ3RER9xtqwdhxkhw/edit?usp=sharing"",""สระบุรี!I371"")"),0)</f>
        <v>0</v>
      </c>
      <c r="J476" s="189">
        <f ca="1">IFERROR(__xludf.DUMMYFUNCTION("IMPORTRANGE(""https://docs.google.com/spreadsheets/d/1SX6NBoVAgQJ6U1MVXOaj8PK2l7WJ3RER9xtqwdhxkhw/edit?usp=sharing"",""สระบุรี!J371"")"),605)</f>
        <v>605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IFERROR(__xludf.DUMMYFUNCTION("IMPORTRANGE(""https://docs.google.com/spreadsheets/d/1SX6NBoVAgQJ6U1MVXOaj8PK2l7WJ3RER9xtqwdhxkhw/edit?usp=sharing"",""สระบุรี!I372"")"),0)</f>
        <v>0</v>
      </c>
      <c r="J477" s="189">
        <f ca="1">IFERROR(__xludf.DUMMYFUNCTION("IMPORTRANGE(""https://docs.google.com/spreadsheets/d/1SX6NBoVAgQJ6U1MVXOaj8PK2l7WJ3RER9xtqwdhxkhw/edit?usp=sharing"",""สระบุรี!J372"")"),619)</f>
        <v>619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IFERROR(__xludf.DUMMYFUNCTION("IMPORTRANGE(""https://docs.google.com/spreadsheets/d/1SX6NBoVAgQJ6U1MVXOaj8PK2l7WJ3RER9xtqwdhxkhw/edit?usp=sharing"",""สระบุรี!I373"")"),0)</f>
        <v>0</v>
      </c>
      <c r="J478" s="189">
        <f ca="1">IFERROR(__xludf.DUMMYFUNCTION("IMPORTRANGE(""https://docs.google.com/spreadsheets/d/1SX6NBoVAgQJ6U1MVXOaj8PK2l7WJ3RER9xtqwdhxkhw/edit?usp=sharing"",""สระบุรี!J373"")"),118)</f>
        <v>118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IFERROR(__xludf.DUMMYFUNCTION("IMPORTRANGE(""https://docs.google.com/spreadsheets/d/1SX6NBoVAgQJ6U1MVXOaj8PK2l7WJ3RER9xtqwdhxkhw/edit?usp=sharing"",""สระบุรี!I374"")"),0)</f>
        <v>0</v>
      </c>
      <c r="J479" s="189">
        <f ca="1">IFERROR(__xludf.DUMMYFUNCTION("IMPORTRANGE(""https://docs.google.com/spreadsheets/d/1SX6NBoVAgQJ6U1MVXOaj8PK2l7WJ3RER9xtqwdhxkhw/edit?usp=sharing"",""สระบุรี!J374"")"),980)</f>
        <v>980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IFERROR(__xludf.DUMMYFUNCTION("IMPORTRANGE(""https://docs.google.com/spreadsheets/d/1SX6NBoVAgQJ6U1MVXOaj8PK2l7WJ3RER9xtqwdhxkhw/edit?usp=sharing"",""สระบุรี!I375"")"),0)</f>
        <v>0</v>
      </c>
      <c r="J480" s="189">
        <f ca="1">IFERROR(__xludf.DUMMYFUNCTION("IMPORTRANGE(""https://docs.google.com/spreadsheets/d/1SX6NBoVAgQJ6U1MVXOaj8PK2l7WJ3RER9xtqwdhxkhw/edit?usp=sharing"",""สระบุรี!J375"")"),133)</f>
        <v>133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IFERROR(__xludf.DUMMYFUNCTION("IMPORTRANGE(""https://docs.google.com/spreadsheets/d/1SX6NBoVAgQJ6U1MVXOaj8PK2l7WJ3RER9xtqwdhxkhw/edit?usp=sharing"",""สระบุรี!I376"")"),4949)</f>
        <v>4949</v>
      </c>
      <c r="J481" s="420">
        <f ca="1">IFERROR(__xludf.DUMMYFUNCTION("IMPORTRANGE(""https://docs.google.com/spreadsheets/d/1SX6NBoVAgQJ6U1MVXOaj8PK2l7WJ3RER9xtqwdhxkhw/edit?usp=sharing"",""สระบุรี!J376"")"),4950)</f>
        <v>4950</v>
      </c>
      <c r="K481" s="202">
        <f t="shared" ca="1" si="117"/>
        <v>100.02020610224288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IFERROR(__xludf.DUMMYFUNCTION("IMPORTRANGE(""https://docs.google.com/spreadsheets/d/1SX6NBoVAgQJ6U1MVXOaj8PK2l7WJ3RER9xtqwdhxkhw/edit?usp=sharing"",""สระบุรี!I377"")"),856)</f>
        <v>856</v>
      </c>
      <c r="J482" s="420">
        <f ca="1">IFERROR(__xludf.DUMMYFUNCTION("IMPORTRANGE(""https://docs.google.com/spreadsheets/d/1SX6NBoVAgQJ6U1MVXOaj8PK2l7WJ3RER9xtqwdhxkhw/edit?usp=sharing"",""สระบุรี!J377"")"),856)</f>
        <v>856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IFERROR(__xludf.DUMMYFUNCTION("IMPORTRANGE(""https://docs.google.com/spreadsheets/d/1SX6NBoVAgQJ6U1MVXOaj8PK2l7WJ3RER9xtqwdhxkhw/edit?usp=sharing"",""สระบุรี!I378"")"),0)</f>
        <v>0</v>
      </c>
      <c r="J483" s="189">
        <f ca="1">IFERROR(__xludf.DUMMYFUNCTION("IMPORTRANGE(""https://docs.google.com/spreadsheets/d/1SX6NBoVAgQJ6U1MVXOaj8PK2l7WJ3RER9xtqwdhxkhw/edit?usp=sharing"",""สระบุรี!J378"")"),3351)</f>
        <v>3351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IFERROR(__xludf.DUMMYFUNCTION("IMPORTRANGE(""https://docs.google.com/spreadsheets/d/1SX6NBoVAgQJ6U1MVXOaj8PK2l7WJ3RER9xtqwdhxkhw/edit?usp=sharing"",""สระบุรี!I379"")"),0)</f>
        <v>0</v>
      </c>
      <c r="J484" s="189">
        <f ca="1">IFERROR(__xludf.DUMMYFUNCTION("IMPORTRANGE(""https://docs.google.com/spreadsheets/d/1SX6NBoVAgQJ6U1MVXOaj8PK2l7WJ3RER9xtqwdhxkhw/edit?usp=sharing"",""สระบุรี!J379"")"),605)</f>
        <v>605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IFERROR(__xludf.DUMMYFUNCTION("IMPORTRANGE(""https://docs.google.com/spreadsheets/d/1SX6NBoVAgQJ6U1MVXOaj8PK2l7WJ3RER9xtqwdhxkhw/edit?usp=sharing"",""สระบุรี!I380"")"),0)</f>
        <v>0</v>
      </c>
      <c r="J485" s="189">
        <f ca="1">IFERROR(__xludf.DUMMYFUNCTION("IMPORTRANGE(""https://docs.google.com/spreadsheets/d/1SX6NBoVAgQJ6U1MVXOaj8PK2l7WJ3RER9xtqwdhxkhw/edit?usp=sharing"",""สระบุรี!J380"")"),619)</f>
        <v>619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IFERROR(__xludf.DUMMYFUNCTION("IMPORTRANGE(""https://docs.google.com/spreadsheets/d/1SX6NBoVAgQJ6U1MVXOaj8PK2l7WJ3RER9xtqwdhxkhw/edit?usp=sharing"",""สระบุรี!I381"")"),0)</f>
        <v>0</v>
      </c>
      <c r="J486" s="189">
        <f ca="1">IFERROR(__xludf.DUMMYFUNCTION("IMPORTRANGE(""https://docs.google.com/spreadsheets/d/1SX6NBoVAgQJ6U1MVXOaj8PK2l7WJ3RER9xtqwdhxkhw/edit?usp=sharing"",""สระบุรี!J381"")"),118)</f>
        <v>118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IFERROR(__xludf.DUMMYFUNCTION("IMPORTRANGE(""https://docs.google.com/spreadsheets/d/1SX6NBoVAgQJ6U1MVXOaj8PK2l7WJ3RER9xtqwdhxkhw/edit?usp=sharing"",""สระบุรี!I382"")"),0)</f>
        <v>0</v>
      </c>
      <c r="J487" s="420">
        <f ca="1">IFERROR(__xludf.DUMMYFUNCTION("IMPORTRANGE(""https://docs.google.com/spreadsheets/d/1SX6NBoVAgQJ6U1MVXOaj8PK2l7WJ3RER9xtqwdhxkhw/edit?usp=sharing"",""สระบุรี!J382"")"),980)</f>
        <v>980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IFERROR(__xludf.DUMMYFUNCTION("IMPORTRANGE(""https://docs.google.com/spreadsheets/d/1SX6NBoVAgQJ6U1MVXOaj8PK2l7WJ3RER9xtqwdhxkhw/edit?usp=sharing"",""สระบุรี!I383"")"),0)</f>
        <v>0</v>
      </c>
      <c r="J488" s="420">
        <f ca="1">IFERROR(__xludf.DUMMYFUNCTION("IMPORTRANGE(""https://docs.google.com/spreadsheets/d/1SX6NBoVAgQJ6U1MVXOaj8PK2l7WJ3RER9xtqwdhxkhw/edit?usp=sharing"",""สระบุรี!J383"")"),133)</f>
        <v>133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IFERROR(__xludf.DUMMYFUNCTION("IMPORTRANGE(""https://docs.google.com/spreadsheets/d/1SX6NBoVAgQJ6U1MVXOaj8PK2l7WJ3RER9xtqwdhxkhw/edit?usp=sharing"",""สระบุรี!I384"")"),0)</f>
        <v>0</v>
      </c>
      <c r="J489" s="189">
        <f ca="1">IFERROR(__xludf.DUMMYFUNCTION("IMPORTRANGE(""https://docs.google.com/spreadsheets/d/1SX6NBoVAgQJ6U1MVXOaj8PK2l7WJ3RER9xtqwdhxkhw/edit?usp=sharing"",""สระบุรี!J384"")"),958)</f>
        <v>958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IFERROR(__xludf.DUMMYFUNCTION("IMPORTRANGE(""https://docs.google.com/spreadsheets/d/1SX6NBoVAgQJ6U1MVXOaj8PK2l7WJ3RER9xtqwdhxkhw/edit?usp=sharing"",""สระบุรี!I385"")"),0)</f>
        <v>0</v>
      </c>
      <c r="J490" s="189">
        <f ca="1">IFERROR(__xludf.DUMMYFUNCTION("IMPORTRANGE(""https://docs.google.com/spreadsheets/d/1SX6NBoVAgQJ6U1MVXOaj8PK2l7WJ3RER9xtqwdhxkhw/edit?usp=sharing"",""สระบุรี!J385"")"),130)</f>
        <v>130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IFERROR(__xludf.DUMMYFUNCTION("IMPORTRANGE(""https://docs.google.com/spreadsheets/d/1SX6NBoVAgQJ6U1MVXOaj8PK2l7WJ3RER9xtqwdhxkhw/edit?usp=sharing"",""สระบุรี!I386"")"),0)</f>
        <v>0</v>
      </c>
      <c r="J491" s="189">
        <f ca="1">IFERROR(__xludf.DUMMYFUNCTION("IMPORTRANGE(""https://docs.google.com/spreadsheets/d/1SX6NBoVAgQJ6U1MVXOaj8PK2l7WJ3RER9xtqwdhxkhw/edit?usp=sharing"",""สระบุรี!J386"")"),22)</f>
        <v>22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IFERROR(__xludf.DUMMYFUNCTION("IMPORTRANGE(""https://docs.google.com/spreadsheets/d/1SX6NBoVAgQJ6U1MVXOaj8PK2l7WJ3RER9xtqwdhxkhw/edit?usp=sharing"",""สระบุรี!I387"")"),0)</f>
        <v>0</v>
      </c>
      <c r="J492" s="189">
        <f ca="1">IFERROR(__xludf.DUMMYFUNCTION("IMPORTRANGE(""https://docs.google.com/spreadsheets/d/1SX6NBoVAgQJ6U1MVXOaj8PK2l7WJ3RER9xtqwdhxkhw/edit?usp=sharing"",""สระบุรี!J387"")"),3)</f>
        <v>3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IFERROR(__xludf.DUMMYFUNCTION("IMPORTRANGE(""https://docs.google.com/spreadsheets/d/1SX6NBoVAgQJ6U1MVXOaj8PK2l7WJ3RER9xtqwdhxkhw/edit?usp=sharing"",""สระบุรี!I388"")"),0)</f>
        <v>0</v>
      </c>
      <c r="J493" s="189">
        <f ca="1">IFERROR(__xludf.DUMMYFUNCTION("IMPORTRANGE(""https://docs.google.com/spreadsheets/d/1SX6NBoVAgQJ6U1MVXOaj8PK2l7WJ3RER9xtqwdhxkhw/edit?usp=sharing"",""สระบุรี!J388"")"),0)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IFERROR(__xludf.DUMMYFUNCTION("IMPORTRANGE(""https://docs.google.com/spreadsheets/d/1SX6NBoVAgQJ6U1MVXOaj8PK2l7WJ3RER9xtqwdhxkhw/edit?usp=sharing"",""สระบุรี!I389"")"),0)</f>
        <v>0</v>
      </c>
      <c r="J494" s="436">
        <f ca="1">IFERROR(__xludf.DUMMYFUNCTION("IMPORTRANGE(""https://docs.google.com/spreadsheets/d/1SX6NBoVAgQJ6U1MVXOaj8PK2l7WJ3RER9xtqwdhxkhw/edit?usp=sharing"",""สระบุรี!J389"")"),0)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IFERROR(__xludf.DUMMYFUNCTION("IMPORTRANGE(""https://docs.google.com/spreadsheets/d/1SX6NBoVAgQJ6U1MVXOaj8PK2l7WJ3RER9xtqwdhxkhw/edit?usp=sharing"",""สระบุรี!I390"")"),0)</f>
        <v>0</v>
      </c>
      <c r="J495" s="436">
        <f ca="1">IFERROR(__xludf.DUMMYFUNCTION("IMPORTRANGE(""https://docs.google.com/spreadsheets/d/1SX6NBoVAgQJ6U1MVXOaj8PK2l7WJ3RER9xtqwdhxkhw/edit?usp=sharing"",""สระบุรี!J390"")"),0)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IFERROR(__xludf.DUMMYFUNCTION("IMPORTRANGE(""https://docs.google.com/spreadsheets/d/1SX6NBoVAgQJ6U1MVXOaj8PK2l7WJ3RER9xtqwdhxkhw/edit?usp=sharing"",""สระบุรี!I391"")"),0)</f>
        <v>0</v>
      </c>
      <c r="J496" s="436">
        <f ca="1">IFERROR(__xludf.DUMMYFUNCTION("IMPORTRANGE(""https://docs.google.com/spreadsheets/d/1SX6NBoVAgQJ6U1MVXOaj8PK2l7WJ3RER9xtqwdhxkhw/edit?usp=sharing"",""สระบุรี!J391"")"),0)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IFERROR(__xludf.DUMMYFUNCTION("IMPORTRANGE(""https://docs.google.com/spreadsheets/d/1SX6NBoVAgQJ6U1MVXOaj8PK2l7WJ3RER9xtqwdhxkhw/edit?usp=sharing"",""สระบุรี!I392"")"),11105)</f>
        <v>11105</v>
      </c>
      <c r="J497" s="443">
        <f ca="1">IFERROR(__xludf.DUMMYFUNCTION("IMPORTRANGE(""https://docs.google.com/spreadsheets/d/1SX6NBoVAgQJ6U1MVXOaj8PK2l7WJ3RER9xtqwdhxkhw/edit?usp=sharing"",""สระบุรี!J392"")"),0)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IFERROR(__xludf.DUMMYFUNCTION("IMPORTRANGE(""https://docs.google.com/spreadsheets/d/1SX6NBoVAgQJ6U1MVXOaj8PK2l7WJ3RER9xtqwdhxkhw/edit?usp=sharing"",""สระบุรี!I393"")"),11105)</f>
        <v>11105</v>
      </c>
      <c r="J498" s="420">
        <f ca="1">IFERROR(__xludf.DUMMYFUNCTION("IMPORTRANGE(""https://docs.google.com/spreadsheets/d/1SX6NBoVAgQJ6U1MVXOaj8PK2l7WJ3RER9xtqwdhxkhw/edit?usp=sharing"",""สระบุรี!J393"")"),0)</f>
        <v>0</v>
      </c>
      <c r="K498" s="202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IFERROR(__xludf.DUMMYFUNCTION("IMPORTRANGE(""https://docs.google.com/spreadsheets/d/1SX6NBoVAgQJ6U1MVXOaj8PK2l7WJ3RER9xtqwdhxkhw/edit?usp=sharing"",""สระบุรี!I394"")"),515)</f>
        <v>515</v>
      </c>
      <c r="J499" s="420">
        <f ca="1">IFERROR(__xludf.DUMMYFUNCTION("IMPORTRANGE(""https://docs.google.com/spreadsheets/d/1SX6NBoVAgQJ6U1MVXOaj8PK2l7WJ3RER9xtqwdhxkhw/edit?usp=sharing"",""สระบุรี!J394"")"),0)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IFERROR(__xludf.DUMMYFUNCTION("IMPORTRANGE(""https://docs.google.com/spreadsheets/d/1SX6NBoVAgQJ6U1MVXOaj8PK2l7WJ3RER9xtqwdhxkhw/edit?usp=sharing"",""สระบุรี!I395"")"),0)</f>
        <v>0</v>
      </c>
      <c r="J500" s="162">
        <f ca="1">IFERROR(__xludf.DUMMYFUNCTION("IMPORTRANGE(""https://docs.google.com/spreadsheets/d/1SX6NBoVAgQJ6U1MVXOaj8PK2l7WJ3RER9xtqwdhxkhw/edit?usp=sharing"",""สระบุรี!J395"")"),0)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IFERROR(__xludf.DUMMYFUNCTION("IMPORTRANGE(""https://docs.google.com/spreadsheets/d/1SX6NBoVAgQJ6U1MVXOaj8PK2l7WJ3RER9xtqwdhxkhw/edit?usp=sharing"",""สระบุรี!I396"")"),0)</f>
        <v>0</v>
      </c>
      <c r="J501" s="162">
        <f ca="1">IFERROR(__xludf.DUMMYFUNCTION("IMPORTRANGE(""https://docs.google.com/spreadsheets/d/1SX6NBoVAgQJ6U1MVXOaj8PK2l7WJ3RER9xtqwdhxkhw/edit?usp=sharing"",""สระบุรี!J396"")"),0)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IFERROR(__xludf.DUMMYFUNCTION("IMPORTRANGE(""https://docs.google.com/spreadsheets/d/1SX6NBoVAgQJ6U1MVXOaj8PK2l7WJ3RER9xtqwdhxkhw/edit?usp=sharing"",""สระบุรี!I397"")"),0)</f>
        <v>0</v>
      </c>
      <c r="J502" s="189">
        <f ca="1">IFERROR(__xludf.DUMMYFUNCTION("IMPORTRANGE(""https://docs.google.com/spreadsheets/d/1SX6NBoVAgQJ6U1MVXOaj8PK2l7WJ3RER9xtqwdhxkhw/edit?usp=sharing"",""สระบุรี!J397"")"),0)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IFERROR(__xludf.DUMMYFUNCTION("IMPORTRANGE(""https://docs.google.com/spreadsheets/d/1SX6NBoVAgQJ6U1MVXOaj8PK2l7WJ3RER9xtqwdhxkhw/edit?usp=sharing"",""สระบุรี!I398"")"),0)</f>
        <v>0</v>
      </c>
      <c r="J503" s="198">
        <f ca="1">IFERROR(__xludf.DUMMYFUNCTION("IMPORTRANGE(""https://docs.google.com/spreadsheets/d/1SX6NBoVAgQJ6U1MVXOaj8PK2l7WJ3RER9xtqwdhxkhw/edit?usp=sharing"",""สระบุรี!J398"")"),0)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IFERROR(__xludf.DUMMYFUNCTION("IMPORTRANGE(""https://docs.google.com/spreadsheets/d/1SX6NBoVAgQJ6U1MVXOaj8PK2l7WJ3RER9xtqwdhxkhw/edit?usp=sharing"",""สระบุรี!I399"")"),0)</f>
        <v>0</v>
      </c>
      <c r="J504" s="189">
        <f ca="1">IFERROR(__xludf.DUMMYFUNCTION("IMPORTRANGE(""https://docs.google.com/spreadsheets/d/1SX6NBoVAgQJ6U1MVXOaj8PK2l7WJ3RER9xtqwdhxkhw/edit?usp=sharing"",""สระบุรี!J399"")"),0)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IFERROR(__xludf.DUMMYFUNCTION("IMPORTRANGE(""https://docs.google.com/spreadsheets/d/1SX6NBoVAgQJ6U1MVXOaj8PK2l7WJ3RER9xtqwdhxkhw/edit?usp=sharing"",""สระบุรี!I400"")"),0)</f>
        <v>0</v>
      </c>
      <c r="J505" s="198">
        <f ca="1">IFERROR(__xludf.DUMMYFUNCTION("IMPORTRANGE(""https://docs.google.com/spreadsheets/d/1SX6NBoVAgQJ6U1MVXOaj8PK2l7WJ3RER9xtqwdhxkhw/edit?usp=sharing"",""สระบุรี!J400"")"),0)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IFERROR(__xludf.DUMMYFUNCTION("IMPORTRANGE(""https://docs.google.com/spreadsheets/d/1SX6NBoVAgQJ6U1MVXOaj8PK2l7WJ3RER9xtqwdhxkhw/edit?usp=sharing"",""สระบุรี!I401"")"),0)</f>
        <v>0</v>
      </c>
      <c r="J506" s="189">
        <f ca="1">IFERROR(__xludf.DUMMYFUNCTION("IMPORTRANGE(""https://docs.google.com/spreadsheets/d/1SX6NBoVAgQJ6U1MVXOaj8PK2l7WJ3RER9xtqwdhxkhw/edit?usp=sharing"",""สระบุรี!J401"")"),0)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IFERROR(__xludf.DUMMYFUNCTION("IMPORTRANGE(""https://docs.google.com/spreadsheets/d/1SX6NBoVAgQJ6U1MVXOaj8PK2l7WJ3RER9xtqwdhxkhw/edit?usp=sharing"",""สระบุรี!I402"")"),0)</f>
        <v>0</v>
      </c>
      <c r="J507" s="198">
        <f ca="1">IFERROR(__xludf.DUMMYFUNCTION("IMPORTRANGE(""https://docs.google.com/spreadsheets/d/1SX6NBoVAgQJ6U1MVXOaj8PK2l7WJ3RER9xtqwdhxkhw/edit?usp=sharing"",""สระบุรี!J402"")"),0)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IFERROR(__xludf.DUMMYFUNCTION("IMPORTRANGE(""https://docs.google.com/spreadsheets/d/1SX6NBoVAgQJ6U1MVXOaj8PK2l7WJ3RER9xtqwdhxkhw/edit?usp=sharing"",""สระบุรี!I403"")"),0)</f>
        <v>0</v>
      </c>
      <c r="J508" s="162">
        <f ca="1">IFERROR(__xludf.DUMMYFUNCTION("IMPORTRANGE(""https://docs.google.com/spreadsheets/d/1SX6NBoVAgQJ6U1MVXOaj8PK2l7WJ3RER9xtqwdhxkhw/edit?usp=sharing"",""สระบุรี!J403"")"),0)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IFERROR(__xludf.DUMMYFUNCTION("IMPORTRANGE(""https://docs.google.com/spreadsheets/d/1SX6NBoVAgQJ6U1MVXOaj8PK2l7WJ3RER9xtqwdhxkhw/edit?usp=sharing"",""สระบุรี!I404"")"),0)</f>
        <v>0</v>
      </c>
      <c r="J509" s="162">
        <f ca="1">IFERROR(__xludf.DUMMYFUNCTION("IMPORTRANGE(""https://docs.google.com/spreadsheets/d/1SX6NBoVAgQJ6U1MVXOaj8PK2l7WJ3RER9xtqwdhxkhw/edit?usp=sharing"",""สระบุรี!J404"")"),0)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IFERROR(__xludf.DUMMYFUNCTION("IMPORTRANGE(""https://docs.google.com/spreadsheets/d/1SX6NBoVAgQJ6U1MVXOaj8PK2l7WJ3RER9xtqwdhxkhw/edit?usp=sharing"",""สระบุรี!I405"")"),0)</f>
        <v>0</v>
      </c>
      <c r="J510" s="198">
        <f ca="1">IFERROR(__xludf.DUMMYFUNCTION("IMPORTRANGE(""https://docs.google.com/spreadsheets/d/1SX6NBoVAgQJ6U1MVXOaj8PK2l7WJ3RER9xtqwdhxkhw/edit?usp=sharing"",""สระบุรี!J405"")"),0)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IFERROR(__xludf.DUMMYFUNCTION("IMPORTRANGE(""https://docs.google.com/spreadsheets/d/1SX6NBoVAgQJ6U1MVXOaj8PK2l7WJ3RER9xtqwdhxkhw/edit?usp=sharing"",""สระบุรี!I406"")"),0)</f>
        <v>0</v>
      </c>
      <c r="J511" s="198">
        <f ca="1">IFERROR(__xludf.DUMMYFUNCTION("IMPORTRANGE(""https://docs.google.com/spreadsheets/d/1SX6NBoVAgQJ6U1MVXOaj8PK2l7WJ3RER9xtqwdhxkhw/edit?usp=sharing"",""สระบุรี!J406"")"),0)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IFERROR(__xludf.DUMMYFUNCTION("IMPORTRANGE(""https://docs.google.com/spreadsheets/d/1SX6NBoVAgQJ6U1MVXOaj8PK2l7WJ3RER9xtqwdhxkhw/edit?usp=sharing"",""สระบุรี!I407"")"),0)</f>
        <v>0</v>
      </c>
      <c r="J512" s="198">
        <f ca="1">IFERROR(__xludf.DUMMYFUNCTION("IMPORTRANGE(""https://docs.google.com/spreadsheets/d/1SX6NBoVAgQJ6U1MVXOaj8PK2l7WJ3RER9xtqwdhxkhw/edit?usp=sharing"",""สระบุรี!J407"")"),0)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IFERROR(__xludf.DUMMYFUNCTION("IMPORTRANGE(""https://docs.google.com/spreadsheets/d/1SX6NBoVAgQJ6U1MVXOaj8PK2l7WJ3RER9xtqwdhxkhw/edit?usp=sharing"",""สระบุรี!I408"")"),0)</f>
        <v>0</v>
      </c>
      <c r="J513" s="198">
        <f ca="1">IFERROR(__xludf.DUMMYFUNCTION("IMPORTRANGE(""https://docs.google.com/spreadsheets/d/1SX6NBoVAgQJ6U1MVXOaj8PK2l7WJ3RER9xtqwdhxkhw/edit?usp=sharing"",""สระบุรี!J408"")"),0)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IFERROR(__xludf.DUMMYFUNCTION("IMPORTRANGE(""https://docs.google.com/spreadsheets/d/1SX6NBoVAgQJ6U1MVXOaj8PK2l7WJ3RER9xtqwdhxkhw/edit?usp=sharing"",""สระบุรี!I409"")"),0)</f>
        <v>0</v>
      </c>
      <c r="J514" s="198">
        <f ca="1">IFERROR(__xludf.DUMMYFUNCTION("IMPORTRANGE(""https://docs.google.com/spreadsheets/d/1SX6NBoVAgQJ6U1MVXOaj8PK2l7WJ3RER9xtqwdhxkhw/edit?usp=sharing"",""สระบุรี!J409"")"),0)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IFERROR(__xludf.DUMMYFUNCTION("IMPORTRANGE(""https://docs.google.com/spreadsheets/d/1SX6NBoVAgQJ6U1MVXOaj8PK2l7WJ3RER9xtqwdhxkhw/edit?usp=sharing"",""สระบุรี!I410"")"),0)</f>
        <v>0</v>
      </c>
      <c r="J515" s="198">
        <f ca="1">IFERROR(__xludf.DUMMYFUNCTION("IMPORTRANGE(""https://docs.google.com/spreadsheets/d/1SX6NBoVAgQJ6U1MVXOaj8PK2l7WJ3RER9xtqwdhxkhw/edit?usp=sharing"",""สระบุรี!J410"")"),0)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IFERROR(__xludf.DUMMYFUNCTION("IMPORTRANGE(""https://docs.google.com/spreadsheets/d/1SX6NBoVAgQJ6U1MVXOaj8PK2l7WJ3RER9xtqwdhxkhw/edit?usp=sharing"",""สระบุรี!I411"")"),0)</f>
        <v>0</v>
      </c>
      <c r="J516" s="267">
        <f ca="1">IFERROR(__xludf.DUMMYFUNCTION("IMPORTRANGE(""https://docs.google.com/spreadsheets/d/1SX6NBoVAgQJ6U1MVXOaj8PK2l7WJ3RER9xtqwdhxkhw/edit?usp=sharing"",""สระบุรี!J411"")"),0)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IFERROR(__xludf.DUMMYFUNCTION("IMPORTRANGE(""https://docs.google.com/spreadsheets/d/1SX6NBoVAgQJ6U1MVXOaj8PK2l7WJ3RER9xtqwdhxkhw/edit?usp=sharing"",""สระบุรี!I412"")"),0)</f>
        <v>0</v>
      </c>
      <c r="J517" s="284">
        <f ca="1">IFERROR(__xludf.DUMMYFUNCTION("IMPORTRANGE(""https://docs.google.com/spreadsheets/d/1SX6NBoVAgQJ6U1MVXOaj8PK2l7WJ3RER9xtqwdhxkhw/edit?usp=sharing"",""สระบุรี!J412"")"),0)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IFERROR(__xludf.DUMMYFUNCTION("IMPORTRANGE(""https://docs.google.com/spreadsheets/d/1SX6NBoVAgQJ6U1MVXOaj8PK2l7WJ3RER9xtqwdhxkhw/edit?usp=sharing"",""สระบุรี!I413"")"),0)</f>
        <v>0</v>
      </c>
      <c r="J518" s="284">
        <f ca="1">IFERROR(__xludf.DUMMYFUNCTION("IMPORTRANGE(""https://docs.google.com/spreadsheets/d/1SX6NBoVAgQJ6U1MVXOaj8PK2l7WJ3RER9xtqwdhxkhw/edit?usp=sharing"",""สระบุรี!J413"")"),0)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IFERROR(__xludf.DUMMYFUNCTION("IMPORTRANGE(""https://docs.google.com/spreadsheets/d/1SX6NBoVAgQJ6U1MVXOaj8PK2l7WJ3RER9xtqwdhxkhw/edit?usp=sharing"",""สระบุรี!I414"")"),0)</f>
        <v>0</v>
      </c>
      <c r="J519" s="188">
        <f ca="1">IFERROR(__xludf.DUMMYFUNCTION("IMPORTRANGE(""https://docs.google.com/spreadsheets/d/1SX6NBoVAgQJ6U1MVXOaj8PK2l7WJ3RER9xtqwdhxkhw/edit?usp=sharing"",""สระบุรี!J414"")"),0)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IFERROR(__xludf.DUMMYFUNCTION("IMPORTRANGE(""https://docs.google.com/spreadsheets/d/1SX6NBoVAgQJ6U1MVXOaj8PK2l7WJ3RER9xtqwdhxkhw/edit?usp=sharing"",""สระบุรี!I415"")"),0)</f>
        <v>0</v>
      </c>
      <c r="J520" s="188">
        <f ca="1">IFERROR(__xludf.DUMMYFUNCTION("IMPORTRANGE(""https://docs.google.com/spreadsheets/d/1SX6NBoVAgQJ6U1MVXOaj8PK2l7WJ3RER9xtqwdhxkhw/edit?usp=sharing"",""สระบุรี!J415"")"),0)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IFERROR(__xludf.DUMMYFUNCTION("IMPORTRANGE(""https://docs.google.com/spreadsheets/d/1SX6NBoVAgQJ6U1MVXOaj8PK2l7WJ3RER9xtqwdhxkhw/edit?usp=sharing"",""สระบุรี!I416"")"),0)</f>
        <v>0</v>
      </c>
      <c r="J521" s="188">
        <f ca="1">IFERROR(__xludf.DUMMYFUNCTION("IMPORTRANGE(""https://docs.google.com/spreadsheets/d/1SX6NBoVAgQJ6U1MVXOaj8PK2l7WJ3RER9xtqwdhxkhw/edit?usp=sharing"",""สระบุรี!J416"")"),0)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IFERROR(__xludf.DUMMYFUNCTION("IMPORTRANGE(""https://docs.google.com/spreadsheets/d/1SX6NBoVAgQJ6U1MVXOaj8PK2l7WJ3RER9xtqwdhxkhw/edit?usp=sharing"",""สระบุรี!I417"")"),0)</f>
        <v>0</v>
      </c>
      <c r="J522" s="188">
        <f ca="1">IFERROR(__xludf.DUMMYFUNCTION("IMPORTRANGE(""https://docs.google.com/spreadsheets/d/1SX6NBoVAgQJ6U1MVXOaj8PK2l7WJ3RER9xtqwdhxkhw/edit?usp=sharing"",""สระบุรี!J417"")"),0)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IFERROR(__xludf.DUMMYFUNCTION("IMPORTRANGE(""https://docs.google.com/spreadsheets/d/1SX6NBoVAgQJ6U1MVXOaj8PK2l7WJ3RER9xtqwdhxkhw/edit?usp=sharing"",""สระบุรี!I418"")"),0)</f>
        <v>0</v>
      </c>
      <c r="J523" s="188">
        <f ca="1">IFERROR(__xludf.DUMMYFUNCTION("IMPORTRANGE(""https://docs.google.com/spreadsheets/d/1SX6NBoVAgQJ6U1MVXOaj8PK2l7WJ3RER9xtqwdhxkhw/edit?usp=sharing"",""สระบุรี!J418"")"),0)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IFERROR(__xludf.DUMMYFUNCTION("IMPORTRANGE(""https://docs.google.com/spreadsheets/d/1SX6NBoVAgQJ6U1MVXOaj8PK2l7WJ3RER9xtqwdhxkhw/edit?usp=sharing"",""สระบุรี!I419"")"),0)</f>
        <v>0</v>
      </c>
      <c r="J524" s="188">
        <f ca="1">IFERROR(__xludf.DUMMYFUNCTION("IMPORTRANGE(""https://docs.google.com/spreadsheets/d/1SX6NBoVAgQJ6U1MVXOaj8PK2l7WJ3RER9xtqwdhxkhw/edit?usp=sharing"",""สระบุรี!J419"")"),0)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IFERROR(__xludf.DUMMYFUNCTION("IMPORTRANGE(""https://docs.google.com/spreadsheets/d/1SX6NBoVAgQJ6U1MVXOaj8PK2l7WJ3RER9xtqwdhxkhw/edit?usp=sharing"",""สระบุรี!I420"")"),0)</f>
        <v>0</v>
      </c>
      <c r="J525" s="284">
        <f ca="1">IFERROR(__xludf.DUMMYFUNCTION("IMPORTRANGE(""https://docs.google.com/spreadsheets/d/1SX6NBoVAgQJ6U1MVXOaj8PK2l7WJ3RER9xtqwdhxkhw/edit?usp=sharing"",""สระบุรี!J420"")"),0)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IFERROR(__xludf.DUMMYFUNCTION("IMPORTRANGE(""https://docs.google.com/spreadsheets/d/1SX6NBoVAgQJ6U1MVXOaj8PK2l7WJ3RER9xtqwdhxkhw/edit?usp=sharing"",""สระบุรี!I421"")"),0)</f>
        <v>0</v>
      </c>
      <c r="J526" s="284">
        <f ca="1">IFERROR(__xludf.DUMMYFUNCTION("IMPORTRANGE(""https://docs.google.com/spreadsheets/d/1SX6NBoVAgQJ6U1MVXOaj8PK2l7WJ3RER9xtqwdhxkhw/edit?usp=sharing"",""สระบุรี!J421"")"),0)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IFERROR(__xludf.DUMMYFUNCTION("IMPORTRANGE(""https://docs.google.com/spreadsheets/d/1SX6NBoVAgQJ6U1MVXOaj8PK2l7WJ3RER9xtqwdhxkhw/edit?usp=sharing"",""สระบุรี!I422"")"),0)</f>
        <v>0</v>
      </c>
      <c r="J527" s="198">
        <f ca="1">IFERROR(__xludf.DUMMYFUNCTION("IMPORTRANGE(""https://docs.google.com/spreadsheets/d/1SX6NBoVAgQJ6U1MVXOaj8PK2l7WJ3RER9xtqwdhxkhw/edit?usp=sharing"",""สระบุรี!J422"")"),0)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IFERROR(__xludf.DUMMYFUNCTION("IMPORTRANGE(""https://docs.google.com/spreadsheets/d/1SX6NBoVAgQJ6U1MVXOaj8PK2l7WJ3RER9xtqwdhxkhw/edit?usp=sharing"",""สระบุรี!I423"")"),0)</f>
        <v>0</v>
      </c>
      <c r="J528" s="198">
        <f ca="1">IFERROR(__xludf.DUMMYFUNCTION("IMPORTRANGE(""https://docs.google.com/spreadsheets/d/1SX6NBoVAgQJ6U1MVXOaj8PK2l7WJ3RER9xtqwdhxkhw/edit?usp=sharing"",""สระบุรี!J423"")"),0)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IFERROR(__xludf.DUMMYFUNCTION("IMPORTRANGE(""https://docs.google.com/spreadsheets/d/1SX6NBoVAgQJ6U1MVXOaj8PK2l7WJ3RER9xtqwdhxkhw/edit?usp=sharing"",""สระบุรี!I424"")"),0)</f>
        <v>0</v>
      </c>
      <c r="J529" s="198">
        <f ca="1">IFERROR(__xludf.DUMMYFUNCTION("IMPORTRANGE(""https://docs.google.com/spreadsheets/d/1SX6NBoVAgQJ6U1MVXOaj8PK2l7WJ3RER9xtqwdhxkhw/edit?usp=sharing"",""สระบุรี!J424"")"),0)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IFERROR(__xludf.DUMMYFUNCTION("IMPORTRANGE(""https://docs.google.com/spreadsheets/d/1SX6NBoVAgQJ6U1MVXOaj8PK2l7WJ3RER9xtqwdhxkhw/edit?usp=sharing"",""สระบุรี!I425"")"),0)</f>
        <v>0</v>
      </c>
      <c r="J530" s="198">
        <f ca="1">IFERROR(__xludf.DUMMYFUNCTION("IMPORTRANGE(""https://docs.google.com/spreadsheets/d/1SX6NBoVAgQJ6U1MVXOaj8PK2l7WJ3RER9xtqwdhxkhw/edit?usp=sharing"",""สระบุรี!J425"")"),0)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IFERROR(__xludf.DUMMYFUNCTION("IMPORTRANGE(""https://docs.google.com/spreadsheets/d/1SX6NBoVAgQJ6U1MVXOaj8PK2l7WJ3RER9xtqwdhxkhw/edit?usp=sharing"",""สระบุรี!I426"")"),0)</f>
        <v>0</v>
      </c>
      <c r="J531" s="198">
        <f ca="1">IFERROR(__xludf.DUMMYFUNCTION("IMPORTRANGE(""https://docs.google.com/spreadsheets/d/1SX6NBoVAgQJ6U1MVXOaj8PK2l7WJ3RER9xtqwdhxkhw/edit?usp=sharing"",""สระบุรี!J426"")"),0)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IFERROR(__xludf.DUMMYFUNCTION("IMPORTRANGE(""https://docs.google.com/spreadsheets/d/1SX6NBoVAgQJ6U1MVXOaj8PK2l7WJ3RER9xtqwdhxkhw/edit?usp=sharing"",""สระบุรี!I427"")"),0)</f>
        <v>0</v>
      </c>
      <c r="J532" s="466">
        <f ca="1">IFERROR(__xludf.DUMMYFUNCTION("IMPORTRANGE(""https://docs.google.com/spreadsheets/d/1SX6NBoVAgQJ6U1MVXOaj8PK2l7WJ3RER9xtqwdhxkhw/edit?usp=sharing"",""สระบุรี!J427"")"),0)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IFERROR(__xludf.DUMMYFUNCTION("IMPORTRANGE(""https://docs.google.com/spreadsheets/d/1SX6NBoVAgQJ6U1MVXOaj8PK2l7WJ3RER9xtqwdhxkhw/edit?usp=sharing"",""สระบุรี!I428"")"),23)</f>
        <v>23</v>
      </c>
      <c r="J533" s="410">
        <f ca="1">IFERROR(__xludf.DUMMYFUNCTION("IMPORTRANGE(""https://docs.google.com/spreadsheets/d/1SX6NBoVAgQJ6U1MVXOaj8PK2l7WJ3RER9xtqwdhxkhw/edit?usp=sharing"",""สระบุรี!J428"")"),23)</f>
        <v>23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IFERROR(__xludf.DUMMYFUNCTION("IMPORTRANGE(""https://docs.google.com/spreadsheets/d/1SX6NBoVAgQJ6U1MVXOaj8PK2l7WJ3RER9xtqwdhxkhw/edit?usp=sharing"",""สระบุรี!L428"")"),35190)</f>
        <v>35190</v>
      </c>
      <c r="M533" s="412"/>
      <c r="N533" s="412">
        <f ca="1">IFERROR(__xludf.DUMMYFUNCTION("IMPORTRANGE(""https://docs.google.com/spreadsheets/d/1SX6NBoVAgQJ6U1MVXOaj8PK2l7WJ3RER9xtqwdhxkhw/edit?usp=sharing"",""สระบุรี!M428"")"),19810)</f>
        <v>19810</v>
      </c>
      <c r="O533" s="412">
        <f t="shared" ref="O533:O537" ca="1" si="118">+IF(L533&gt;0,N533*100/L533,0)</f>
        <v>56.294401818698496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IFERROR(__xludf.DUMMYFUNCTION("IMPORTRANGE(""https://docs.google.com/spreadsheets/d/1SX6NBoVAgQJ6U1MVXOaj8PK2l7WJ3RER9xtqwdhxkhw/edit?usp=sharing"",""สระบุรี!M429"")"),0)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IFERROR(__xludf.DUMMYFUNCTION("IMPORTRANGE(""https://docs.google.com/spreadsheets/d/1SX6NBoVAgQJ6U1MVXOaj8PK2l7WJ3RER9xtqwdhxkhw/edit?usp=sharing"",""สระบุรี!L430"")"),35190)</f>
        <v>35190</v>
      </c>
      <c r="M535" s="165"/>
      <c r="N535" s="169">
        <f ca="1">IFERROR(__xludf.DUMMYFUNCTION("IMPORTRANGE(""https://docs.google.com/spreadsheets/d/1SX6NBoVAgQJ6U1MVXOaj8PK2l7WJ3RER9xtqwdhxkhw/edit?usp=sharing"",""สระบุรี!M430"")"),19810)</f>
        <v>19810</v>
      </c>
      <c r="O535" s="169">
        <f t="shared" ca="1" si="118"/>
        <v>56.294401818698496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IFERROR(__xludf.DUMMYFUNCTION("IMPORTRANGE(""https://docs.google.com/spreadsheets/d/1SX6NBoVAgQJ6U1MVXOaj8PK2l7WJ3RER9xtqwdhxkhw/edit?usp=sharing"",""สระบุรี!M431"")"),0)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IFERROR(__xludf.DUMMYFUNCTION("IMPORTRANGE(""https://docs.google.com/spreadsheets/d/1SX6NBoVAgQJ6U1MVXOaj8PK2l7WJ3RER9xtqwdhxkhw/edit?usp=sharing"",""สระบุรี!L432"")"),35190)</f>
        <v>35190</v>
      </c>
      <c r="M537" s="169"/>
      <c r="N537" s="169">
        <f ca="1">IFERROR(__xludf.DUMMYFUNCTION("IMPORTRANGE(""https://docs.google.com/spreadsheets/d/1SX6NBoVAgQJ6U1MVXOaj8PK2l7WJ3RER9xtqwdhxkhw/edit?usp=sharing"",""สระบุรี!M432"")"),19810)</f>
        <v>19810</v>
      </c>
      <c r="O537" s="169">
        <f t="shared" ca="1" si="118"/>
        <v>56.294401818698496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IFERROR(__xludf.DUMMYFUNCTION("IMPORTRANGE(""https://docs.google.com/spreadsheets/d/1SX6NBoVAgQJ6U1MVXOaj8PK2l7WJ3RER9xtqwdhxkhw/edit?usp=sharing"",""สระบุรี!M433"")"),0)</f>
        <v>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IFERROR(__xludf.DUMMYFUNCTION("IMPORTRANGE(""https://docs.google.com/spreadsheets/d/1SX6NBoVAgQJ6U1MVXOaj8PK2l7WJ3RER9xtqwdhxkhw/edit?usp=sharing"",""สระบุรี!M434"")"),0)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IFERROR(__xludf.DUMMYFUNCTION("IMPORTRANGE(""https://docs.google.com/spreadsheets/d/1SX6NBoVAgQJ6U1MVXOaj8PK2l7WJ3RER9xtqwdhxkhw/edit?usp=sharing"",""สระบุรี!M435"")"),0)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IFERROR(__xludf.DUMMYFUNCTION("IMPORTRANGE(""https://docs.google.com/spreadsheets/d/1SX6NBoVAgQJ6U1MVXOaj8PK2l7WJ3RER9xtqwdhxkhw/edit?usp=sharing"",""สระบุรี!M436"")"),19810)</f>
        <v>19810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IFERROR(__xludf.DUMMYFUNCTION("IMPORTRANGE(""https://docs.google.com/spreadsheets/d/1SX6NBoVAgQJ6U1MVXOaj8PK2l7WJ3RER9xtqwdhxkhw/edit?usp=sharing"",""สระบุรี!I442"")"),23)</f>
        <v>23</v>
      </c>
      <c r="J547" s="189">
        <f ca="1">IFERROR(__xludf.DUMMYFUNCTION("IMPORTRANGE(""https://docs.google.com/spreadsheets/d/1SX6NBoVAgQJ6U1MVXOaj8PK2l7WJ3RER9xtqwdhxkhw/edit?usp=sharing"",""สระบุรี!J442"")"),23)</f>
        <v>23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IFERROR(__xludf.DUMMYFUNCTION("IMPORTRANGE(""https://docs.google.com/spreadsheets/d/1SX6NBoVAgQJ6U1MVXOaj8PK2l7WJ3RER9xtqwdhxkhw/edit?usp=sharing"",""สระบุรี!I446"")"),0)</f>
        <v>0</v>
      </c>
      <c r="J551" s="410">
        <f ca="1">IFERROR(__xludf.DUMMYFUNCTION("IMPORTRANGE(""https://docs.google.com/spreadsheets/d/1SX6NBoVAgQJ6U1MVXOaj8PK2l7WJ3RER9xtqwdhxkhw/edit?usp=sharing"",""สระบุรี!J446"")"),0)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IFERROR(__xludf.DUMMYFUNCTION("IMPORTRANGE(""https://docs.google.com/spreadsheets/d/1SX6NBoVAgQJ6U1MVXOaj8PK2l7WJ3RER9xtqwdhxkhw/edit?usp=sharing"",""สระบุรี!M446"")"),0)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IFERROR(__xludf.DUMMYFUNCTION("IMPORTRANGE(""https://docs.google.com/spreadsheets/d/1SX6NBoVAgQJ6U1MVXOaj8PK2l7WJ3RER9xtqwdhxkhw/edit?usp=sharing"",""สระบุรี!M447"")"),0)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IFERROR(__xludf.DUMMYFUNCTION("IMPORTRANGE(""https://docs.google.com/spreadsheets/d/1SX6NBoVAgQJ6U1MVXOaj8PK2l7WJ3RER9xtqwdhxkhw/edit?usp=sharing"",""สระบุรี!M448"")"),0)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IFERROR(__xludf.DUMMYFUNCTION("IMPORTRANGE(""https://docs.google.com/spreadsheets/d/1SX6NBoVAgQJ6U1MVXOaj8PK2l7WJ3RER9xtqwdhxkhw/edit?usp=sharing"",""สระบุรี!M449"")"),0)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IFERROR(__xludf.DUMMYFUNCTION("IMPORTRANGE(""https://docs.google.com/spreadsheets/d/1SX6NBoVAgQJ6U1MVXOaj8PK2l7WJ3RER9xtqwdhxkhw/edit?usp=sharing"",""สระบุรี!M450"")"),0)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IFERROR(__xludf.DUMMYFUNCTION("IMPORTRANGE(""https://docs.google.com/spreadsheets/d/1SX6NBoVAgQJ6U1MVXOaj8PK2l7WJ3RER9xtqwdhxkhw/edit?usp=sharing"",""สระบุรี!M451"")"),0)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IFERROR(__xludf.DUMMYFUNCTION("IMPORTRANGE(""https://docs.google.com/spreadsheets/d/1SX6NBoVAgQJ6U1MVXOaj8PK2l7WJ3RER9xtqwdhxkhw/edit?usp=sharing"",""สระบุรี!M452"")"),0)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IFERROR(__xludf.DUMMYFUNCTION("IMPORTRANGE(""https://docs.google.com/spreadsheets/d/1SX6NBoVAgQJ6U1MVXOaj8PK2l7WJ3RER9xtqwdhxkhw/edit?usp=sharing"",""สระบุรี!M453"")"),0)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IFERROR(__xludf.DUMMYFUNCTION("IMPORTRANGE(""https://docs.google.com/spreadsheets/d/1SX6NBoVAgQJ6U1MVXOaj8PK2l7WJ3RER9xtqwdhxkhw/edit?usp=sharing"",""สระบุรี!M454"")"),0)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IFERROR(__xludf.DUMMYFUNCTION("IMPORTRANGE(""https://docs.google.com/spreadsheets/d/1SX6NBoVAgQJ6U1MVXOaj8PK2l7WJ3RER9xtqwdhxkhw/edit?usp=sharing"",""สระบุรี!I455"")"),0)</f>
        <v>0</v>
      </c>
      <c r="J560" s="162">
        <f ca="1">IFERROR(__xludf.DUMMYFUNCTION("IMPORTRANGE(""https://docs.google.com/spreadsheets/d/1SX6NBoVAgQJ6U1MVXOaj8PK2l7WJ3RER9xtqwdhxkhw/edit?usp=sharing"",""สระบุรี!J455"")"),0)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IFERROR(__xludf.DUMMYFUNCTION("IMPORTRANGE(""https://docs.google.com/spreadsheets/d/1SX6NBoVAgQJ6U1MVXOaj8PK2l7WJ3RER9xtqwdhxkhw/edit?usp=sharing"",""สระบุรี!I456"")"),0)</f>
        <v>0</v>
      </c>
      <c r="J561" s="204">
        <f ca="1">IFERROR(__xludf.DUMMYFUNCTION("IMPORTRANGE(""https://docs.google.com/spreadsheets/d/1SX6NBoVAgQJ6U1MVXOaj8PK2l7WJ3RER9xtqwdhxkhw/edit?usp=sharing"",""สระบุรี!J456"")"),0)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IFERROR(__xludf.DUMMYFUNCTION("IMPORTRANGE(""https://docs.google.com/spreadsheets/d/1SX6NBoVAgQJ6U1MVXOaj8PK2l7WJ3RER9xtqwdhxkhw/edit?usp=sharing"",""สระบุรี!I459"")"),600)</f>
        <v>600</v>
      </c>
      <c r="J564" s="371">
        <f ca="1">IFERROR(__xludf.DUMMYFUNCTION("IMPORTRANGE(""https://docs.google.com/spreadsheets/d/1SX6NBoVAgQJ6U1MVXOaj8PK2l7WJ3RER9xtqwdhxkhw/edit?usp=sharing"",""สระบุรี!J459"")"),839)</f>
        <v>839</v>
      </c>
      <c r="K564" s="372">
        <f ca="1">IF(I564&gt;0,J564*100/I564,0)</f>
        <v>139.83333333333334</v>
      </c>
      <c r="L564" s="373">
        <f ca="1">IFERROR(__xludf.DUMMYFUNCTION("IMPORTRANGE(""https://docs.google.com/spreadsheets/d/1SX6NBoVAgQJ6U1MVXOaj8PK2l7WJ3RER9xtqwdhxkhw/edit?usp=sharing"",""สระบุรี!L459"")"),125680)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IFERROR(__xludf.DUMMYFUNCTION("IMPORTRANGE(""https://docs.google.com/spreadsheets/d/1SX6NBoVAgQJ6U1MVXOaj8PK2l7WJ3RER9xtqwdhxkhw/edit?usp=sharing"",""สระบุรี!M459"")"),41012)</f>
        <v>41012</v>
      </c>
      <c r="O564" s="373">
        <f t="shared" ref="O564:O568" ca="1" si="122">+IF(L564&gt;0,N564*100/L564,0)</f>
        <v>32.632081476766388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IFERROR(__xludf.DUMMYFUNCTION("IMPORTRANGE(""https://docs.google.com/spreadsheets/d/1SX6NBoVAgQJ6U1MVXOaj8PK2l7WJ3RER9xtqwdhxkhw/edit?usp=sharing"",""สระบุรี!M460"")"),0)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IFERROR(__xludf.DUMMYFUNCTION("IMPORTRANGE(""https://docs.google.com/spreadsheets/d/1SX6NBoVAgQJ6U1MVXOaj8PK2l7WJ3RER9xtqwdhxkhw/edit?usp=sharing"",""สระบุรี!L461"")"),125680)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IFERROR(__xludf.DUMMYFUNCTION("IMPORTRANGE(""https://docs.google.com/spreadsheets/d/1SX6NBoVAgQJ6U1MVXOaj8PK2l7WJ3RER9xtqwdhxkhw/edit?usp=sharing"",""สระบุรี!M461"")"),41012)</f>
        <v>41012</v>
      </c>
      <c r="O566" s="169">
        <f t="shared" ca="1" si="122"/>
        <v>32.632081476766388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IFERROR(__xludf.DUMMYFUNCTION("IMPORTRANGE(""https://docs.google.com/spreadsheets/d/1SX6NBoVAgQJ6U1MVXOaj8PK2l7WJ3RER9xtqwdhxkhw/edit?usp=sharing"",""สระบุรี!M462"")"),0)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IFERROR(__xludf.DUMMYFUNCTION("IMPORTRANGE(""https://docs.google.com/spreadsheets/d/1SX6NBoVAgQJ6U1MVXOaj8PK2l7WJ3RER9xtqwdhxkhw/edit?usp=sharing"",""สระบุรี!L463"")"),125680)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IFERROR(__xludf.DUMMYFUNCTION("IMPORTRANGE(""https://docs.google.com/spreadsheets/d/1SX6NBoVAgQJ6U1MVXOaj8PK2l7WJ3RER9xtqwdhxkhw/edit?usp=sharing"",""สระบุรี!M463"")"),41012)</f>
        <v>41012</v>
      </c>
      <c r="O568" s="169">
        <f t="shared" ca="1" si="122"/>
        <v>32.632081476766388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IFERROR(__xludf.DUMMYFUNCTION("IMPORTRANGE(""https://docs.google.com/spreadsheets/d/1SX6NBoVAgQJ6U1MVXOaj8PK2l7WJ3RER9xtqwdhxkhw/edit?usp=sharing"",""สระบุรี!M464"")"),0)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IFERROR(__xludf.DUMMYFUNCTION("IMPORTRANGE(""https://docs.google.com/spreadsheets/d/1SX6NBoVAgQJ6U1MVXOaj8PK2l7WJ3RER9xtqwdhxkhw/edit?usp=sharing"",""สระบุรี!M465"")"),0)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IFERROR(__xludf.DUMMYFUNCTION("IMPORTRANGE(""https://docs.google.com/spreadsheets/d/1SX6NBoVAgQJ6U1MVXOaj8PK2l7WJ3RER9xtqwdhxkhw/edit?usp=sharing"",""สระบุรี!M466"")"),31170)</f>
        <v>31170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IFERROR(__xludf.DUMMYFUNCTION("IMPORTRANGE(""https://docs.google.com/spreadsheets/d/1SX6NBoVAgQJ6U1MVXOaj8PK2l7WJ3RER9xtqwdhxkhw/edit?usp=sharing"",""สระบุรี!M467"")"),9842)</f>
        <v>9842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IFERROR(__xludf.DUMMYFUNCTION("IMPORTRANGE(""https://docs.google.com/spreadsheets/d/1SX6NBoVAgQJ6U1MVXOaj8PK2l7WJ3RER9xtqwdhxkhw/edit?usp=sharing"",""สระบุรี!I468"")"),600)</f>
        <v>600</v>
      </c>
      <c r="J573" s="420">
        <f ca="1">IFERROR(__xludf.DUMMYFUNCTION("IMPORTRANGE(""https://docs.google.com/spreadsheets/d/1SX6NBoVAgQJ6U1MVXOaj8PK2l7WJ3RER9xtqwdhxkhw/edit?usp=sharing"",""สระบุรี!J468"")"),839)</f>
        <v>839</v>
      </c>
      <c r="K573" s="202">
        <f ca="1">IF(I573&gt;0,J573*100/I573,0)</f>
        <v>139.83333333333334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IFERROR(__xludf.DUMMYFUNCTION("IMPORTRANGE(""https://docs.google.com/spreadsheets/d/1SX6NBoVAgQJ6U1MVXOaj8PK2l7WJ3RER9xtqwdhxkhw/edit?usp=sharing"",""สระบุรี!I470"")"),0)</f>
        <v>0</v>
      </c>
      <c r="J575" s="198">
        <f ca="1">IFERROR(__xludf.DUMMYFUNCTION("IMPORTRANGE(""https://docs.google.com/spreadsheets/d/1SX6NBoVAgQJ6U1MVXOaj8PK2l7WJ3RER9xtqwdhxkhw/edit?usp=sharing"",""สระบุรี!J470"")"),0)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IFERROR(__xludf.DUMMYFUNCTION("IMPORTRANGE(""https://docs.google.com/spreadsheets/d/1SX6NBoVAgQJ6U1MVXOaj8PK2l7WJ3RER9xtqwdhxkhw/edit?usp=sharing"",""สระบุรี!I471"")"),0)</f>
        <v>0</v>
      </c>
      <c r="J576" s="198">
        <f ca="1">IFERROR(__xludf.DUMMYFUNCTION("IMPORTRANGE(""https://docs.google.com/spreadsheets/d/1SX6NBoVAgQJ6U1MVXOaj8PK2l7WJ3RER9xtqwdhxkhw/edit?usp=sharing"",""สระบุรี!J471"")"),0)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IFERROR(__xludf.DUMMYFUNCTION("IMPORTRANGE(""https://docs.google.com/spreadsheets/d/1SX6NBoVAgQJ6U1MVXOaj8PK2l7WJ3RER9xtqwdhxkhw/edit?usp=sharing"",""สระบุรี!I472"")"),0)</f>
        <v>0</v>
      </c>
      <c r="J577" s="189">
        <f ca="1">IFERROR(__xludf.DUMMYFUNCTION("IMPORTRANGE(""https://docs.google.com/spreadsheets/d/1SX6NBoVAgQJ6U1MVXOaj8PK2l7WJ3RER9xtqwdhxkhw/edit?usp=sharing"",""สระบุรี!J472"")"),828)</f>
        <v>828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IFERROR(__xludf.DUMMYFUNCTION("IMPORTRANGE(""https://docs.google.com/spreadsheets/d/1SX6NBoVAgQJ6U1MVXOaj8PK2l7WJ3RER9xtqwdhxkhw/edit?usp=sharing"",""สระบุรี!I473"")"),0)</f>
        <v>0</v>
      </c>
      <c r="J578" s="198">
        <f ca="1">IFERROR(__xludf.DUMMYFUNCTION("IMPORTRANGE(""https://docs.google.com/spreadsheets/d/1SX6NBoVAgQJ6U1MVXOaj8PK2l7WJ3RER9xtqwdhxkhw/edit?usp=sharing"",""สระบุรี!J473"")"),11)</f>
        <v>11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IFERROR(__xludf.DUMMYFUNCTION("IMPORTRANGE(""https://docs.google.com/spreadsheets/d/1SX6NBoVAgQJ6U1MVXOaj8PK2l7WJ3RER9xtqwdhxkhw/edit?usp=sharing"",""สระบุรี!I474"")"),0)</f>
        <v>0</v>
      </c>
      <c r="J579" s="198">
        <f ca="1">IFERROR(__xludf.DUMMYFUNCTION("IMPORTRANGE(""https://docs.google.com/spreadsheets/d/1SX6NBoVAgQJ6U1MVXOaj8PK2l7WJ3RER9xtqwdhxkhw/edit?usp=sharing"",""สระบุรี!J474"")"),0)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IFERROR(__xludf.DUMMYFUNCTION("IMPORTRANGE(""https://docs.google.com/spreadsheets/d/1SX6NBoVAgQJ6U1MVXOaj8PK2l7WJ3RER9xtqwdhxkhw/edit?usp=sharing"",""สระบุรี!I475"")"),500)</f>
        <v>500</v>
      </c>
      <c r="J580" s="371">
        <f ca="1">IFERROR(__xludf.DUMMYFUNCTION("IMPORTRANGE(""https://docs.google.com/spreadsheets/d/1SX6NBoVAgQJ6U1MVXOaj8PK2l7WJ3RER9xtqwdhxkhw/edit?usp=sharing"",""สระบุรี!J475"")"),0)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IFERROR(__xludf.DUMMYFUNCTION("IMPORTRANGE(""https://docs.google.com/spreadsheets/d/1SX6NBoVAgQJ6U1MVXOaj8PK2l7WJ3RER9xtqwdhxkhw/edit?usp=sharing"",""สระบุรี!L475"")"),377750)</f>
        <v>377750</v>
      </c>
      <c r="M580" s="373"/>
      <c r="N580" s="373">
        <f ca="1">IFERROR(__xludf.DUMMYFUNCTION("IMPORTRANGE(""https://docs.google.com/spreadsheets/d/1SX6NBoVAgQJ6U1MVXOaj8PK2l7WJ3RER9xtqwdhxkhw/edit?usp=sharing"",""สระบุรี!M475"")"),193394.68)</f>
        <v>193394.68</v>
      </c>
      <c r="O580" s="373">
        <f t="shared" ref="O580:O584" ca="1" si="124">+IF(L580&gt;0,N580*100/L580,0)</f>
        <v>51.196473858371938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IFERROR(__xludf.DUMMYFUNCTION("IMPORTRANGE(""https://docs.google.com/spreadsheets/d/1SX6NBoVAgQJ6U1MVXOaj8PK2l7WJ3RER9xtqwdhxkhw/edit?usp=sharing"",""สระบุรี!M476"")"),0)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IFERROR(__xludf.DUMMYFUNCTION("IMPORTRANGE(""https://docs.google.com/spreadsheets/d/1SX6NBoVAgQJ6U1MVXOaj8PK2l7WJ3RER9xtqwdhxkhw/edit?usp=sharing"",""สระบุรี!L477"")"),377750)</f>
        <v>377750</v>
      </c>
      <c r="M582" s="165"/>
      <c r="N582" s="169">
        <f ca="1">IFERROR(__xludf.DUMMYFUNCTION("IMPORTRANGE(""https://docs.google.com/spreadsheets/d/1SX6NBoVAgQJ6U1MVXOaj8PK2l7WJ3RER9xtqwdhxkhw/edit?usp=sharing"",""สระบุรี!M477"")"),193394.68)</f>
        <v>193394.68</v>
      </c>
      <c r="O582" s="169">
        <f t="shared" ca="1" si="124"/>
        <v>51.196473858371938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IFERROR(__xludf.DUMMYFUNCTION("IMPORTRANGE(""https://docs.google.com/spreadsheets/d/1SX6NBoVAgQJ6U1MVXOaj8PK2l7WJ3RER9xtqwdhxkhw/edit?usp=sharing"",""สระบุรี!M478"")"),0)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IFERROR(__xludf.DUMMYFUNCTION("IMPORTRANGE(""https://docs.google.com/spreadsheets/d/1SX6NBoVAgQJ6U1MVXOaj8PK2l7WJ3RER9xtqwdhxkhw/edit?usp=sharing"",""สระบุรี!L479"")"),377750)</f>
        <v>377750</v>
      </c>
      <c r="M584" s="169"/>
      <c r="N584" s="169">
        <f ca="1">IFERROR(__xludf.DUMMYFUNCTION("IMPORTRANGE(""https://docs.google.com/spreadsheets/d/1SX6NBoVAgQJ6U1MVXOaj8PK2l7WJ3RER9xtqwdhxkhw/edit?usp=sharing"",""สระบุรี!M479"")"),193394.68)</f>
        <v>193394.68</v>
      </c>
      <c r="O584" s="169">
        <f t="shared" ca="1" si="124"/>
        <v>51.196473858371938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IFERROR(__xludf.DUMMYFUNCTION("IMPORTRANGE(""https://docs.google.com/spreadsheets/d/1SX6NBoVAgQJ6U1MVXOaj8PK2l7WJ3RER9xtqwdhxkhw/edit?usp=sharing"",""สระบุรี!M480"")"),0)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IFERROR(__xludf.DUMMYFUNCTION("IMPORTRANGE(""https://docs.google.com/spreadsheets/d/1SX6NBoVAgQJ6U1MVXOaj8PK2l7WJ3RER9xtqwdhxkhw/edit?usp=sharing"",""สระบุรี!M481"")"),0)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IFERROR(__xludf.DUMMYFUNCTION("IMPORTRANGE(""https://docs.google.com/spreadsheets/d/1SX6NBoVAgQJ6U1MVXOaj8PK2l7WJ3RER9xtqwdhxkhw/edit?usp=sharing"",""สระบุรี!M482"")"),55000)</f>
        <v>55000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IFERROR(__xludf.DUMMYFUNCTION("IMPORTRANGE(""https://docs.google.com/spreadsheets/d/1SX6NBoVAgQJ6U1MVXOaj8PK2l7WJ3RER9xtqwdhxkhw/edit?usp=sharing"",""สระบุรี!M483"")"),138394.68)</f>
        <v>138394.68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IFERROR(__xludf.DUMMYFUNCTION("IMPORTRANGE(""https://docs.google.com/spreadsheets/d/1SX6NBoVAgQJ6U1MVXOaj8PK2l7WJ3RER9xtqwdhxkhw/edit?usp=sharing"",""สระบุรี!I484"")"),500)</f>
        <v>500</v>
      </c>
      <c r="J589" s="188">
        <f ca="1">IFERROR(__xludf.DUMMYFUNCTION("IMPORTRANGE(""https://docs.google.com/spreadsheets/d/1SX6NBoVAgQJ6U1MVXOaj8PK2l7WJ3RER9xtqwdhxkhw/edit?usp=sharing"",""สระบุรี!J484"")"),26)</f>
        <v>26</v>
      </c>
      <c r="K589" s="163">
        <f t="shared" ref="K589:K596" ca="1" si="125">IF(I589&gt;0,J589*100/I589,0)</f>
        <v>5.2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IFERROR(__xludf.DUMMYFUNCTION("IMPORTRANGE(""https://docs.google.com/spreadsheets/d/1SX6NBoVAgQJ6U1MVXOaj8PK2l7WJ3RER9xtqwdhxkhw/edit?usp=sharing"",""สระบุรี!I485"")"),0)</f>
        <v>0</v>
      </c>
      <c r="J590" s="188">
        <f ca="1">IFERROR(__xludf.DUMMYFUNCTION("IMPORTRANGE(""https://docs.google.com/spreadsheets/d/1SX6NBoVAgQJ6U1MVXOaj8PK2l7WJ3RER9xtqwdhxkhw/edit?usp=sharing"",""สระบุรี!J485"")"),34.53)</f>
        <v>34.53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IFERROR(__xludf.DUMMYFUNCTION("IMPORTRANGE(""https://docs.google.com/spreadsheets/d/1SX6NBoVAgQJ6U1MVXOaj8PK2l7WJ3RER9xtqwdhxkhw/edit?usp=sharing"",""สระบุรี!I486"")"),500)</f>
        <v>500</v>
      </c>
      <c r="J591" s="188">
        <f ca="1">IFERROR(__xludf.DUMMYFUNCTION("IMPORTRANGE(""https://docs.google.com/spreadsheets/d/1SX6NBoVAgQJ6U1MVXOaj8PK2l7WJ3RER9xtqwdhxkhw/edit?usp=sharing"",""สระบุรี!J486"")"),0)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IFERROR(__xludf.DUMMYFUNCTION("IMPORTRANGE(""https://docs.google.com/spreadsheets/d/1SX6NBoVAgQJ6U1MVXOaj8PK2l7WJ3RER9xtqwdhxkhw/edit?usp=sharing"",""สระบุรี!I487"")"),0)</f>
        <v>0</v>
      </c>
      <c r="J592" s="188">
        <f ca="1">IFERROR(__xludf.DUMMYFUNCTION("IMPORTRANGE(""https://docs.google.com/spreadsheets/d/1SX6NBoVAgQJ6U1MVXOaj8PK2l7WJ3RER9xtqwdhxkhw/edit?usp=sharing"",""สระบุรี!J487"")"),0)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IFERROR(__xludf.DUMMYFUNCTION("IMPORTRANGE(""https://docs.google.com/spreadsheets/d/1SX6NBoVAgQJ6U1MVXOaj8PK2l7WJ3RER9xtqwdhxkhw/edit?usp=sharing"",""สระบุรี!I488"")"),500)</f>
        <v>500</v>
      </c>
      <c r="J593" s="188">
        <f ca="1">IFERROR(__xludf.DUMMYFUNCTION("IMPORTRANGE(""https://docs.google.com/spreadsheets/d/1SX6NBoVAgQJ6U1MVXOaj8PK2l7WJ3RER9xtqwdhxkhw/edit?usp=sharing"",""สระบุรี!J488"")"),0)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IFERROR(__xludf.DUMMYFUNCTION("IMPORTRANGE(""https://docs.google.com/spreadsheets/d/1SX6NBoVAgQJ6U1MVXOaj8PK2l7WJ3RER9xtqwdhxkhw/edit?usp=sharing"",""สระบุรี!I489"")"),0)</f>
        <v>0</v>
      </c>
      <c r="J594" s="188">
        <f ca="1">IFERROR(__xludf.DUMMYFUNCTION("IMPORTRANGE(""https://docs.google.com/spreadsheets/d/1SX6NBoVAgQJ6U1MVXOaj8PK2l7WJ3RER9xtqwdhxkhw/edit?usp=sharing"",""สระบุรี!J489"")"),0)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IFERROR(__xludf.DUMMYFUNCTION("IMPORTRANGE(""https://docs.google.com/spreadsheets/d/1SX6NBoVAgQJ6U1MVXOaj8PK2l7WJ3RER9xtqwdhxkhw/edit?usp=sharing"",""สระบุรี!I490"")"),500)</f>
        <v>500</v>
      </c>
      <c r="J595" s="188">
        <f ca="1">IFERROR(__xludf.DUMMYFUNCTION("IMPORTRANGE(""https://docs.google.com/spreadsheets/d/1SX6NBoVAgQJ6U1MVXOaj8PK2l7WJ3RER9xtqwdhxkhw/edit?usp=sharing"",""สระบุรี!J490"")"),0)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IFERROR(__xludf.DUMMYFUNCTION("IMPORTRANGE(""https://docs.google.com/spreadsheets/d/1SX6NBoVAgQJ6U1MVXOaj8PK2l7WJ3RER9xtqwdhxkhw/edit?usp=sharing"",""สระบุรี!I491"")"),0)</f>
        <v>0</v>
      </c>
      <c r="J596" s="241">
        <f ca="1">IFERROR(__xludf.DUMMYFUNCTION("IMPORTRANGE(""https://docs.google.com/spreadsheets/d/1SX6NBoVAgQJ6U1MVXOaj8PK2l7WJ3RER9xtqwdhxkhw/edit?usp=sharing"",""สระบุรี!J491"")"),0)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IFERROR(__xludf.DUMMYFUNCTION("IMPORTRANGE(""https://docs.google.com/spreadsheets/d/1SX6NBoVAgQJ6U1MVXOaj8PK2l7WJ3RER9xtqwdhxkhw/edit?usp=sharing"",""สระบุรี!I492"")"),50)</f>
        <v>50</v>
      </c>
      <c r="J597" s="487">
        <f ca="1">IFERROR(__xludf.DUMMYFUNCTION("IMPORTRANGE(""https://docs.google.com/spreadsheets/d/1SX6NBoVAgQJ6U1MVXOaj8PK2l7WJ3RER9xtqwdhxkhw/edit?usp=sharing"",""สระบุรี!J492"")"),0)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IFERROR(__xludf.DUMMYFUNCTION("IMPORTRANGE(""https://docs.google.com/spreadsheets/d/1SX6NBoVAgQJ6U1MVXOaj8PK2l7WJ3RER9xtqwdhxkhw/edit?usp=sharing"",""สระบุรี!M492"")"),720)</f>
        <v>720</v>
      </c>
      <c r="O597" s="412">
        <f t="shared" ref="O597:O601" ca="1" si="126">+IF(L597&gt;0,N597*100/L597,0)</f>
        <v>15.824175824175825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IFERROR(__xludf.DUMMYFUNCTION("IMPORTRANGE(""https://docs.google.com/spreadsheets/d/1SX6NBoVAgQJ6U1MVXOaj8PK2l7WJ3RER9xtqwdhxkhw/edit?usp=sharing"",""สระบุรี!M493"")"),0)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IFERROR(__xludf.DUMMYFUNCTION("IMPORTRANGE(""https://docs.google.com/spreadsheets/d/1SX6NBoVAgQJ6U1MVXOaj8PK2l7WJ3RER9xtqwdhxkhw/edit?usp=sharing"",""สระบุรี!M494"")"),720)</f>
        <v>720</v>
      </c>
      <c r="O599" s="169">
        <f t="shared" ca="1" si="126"/>
        <v>15.824175824175825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IFERROR(__xludf.DUMMYFUNCTION("IMPORTRANGE(""https://docs.google.com/spreadsheets/d/1SX6NBoVAgQJ6U1MVXOaj8PK2l7WJ3RER9xtqwdhxkhw/edit?usp=sharing"",""สระบุรี!M495"")"),0)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IFERROR(__xludf.DUMMYFUNCTION("IMPORTRANGE(""https://docs.google.com/spreadsheets/d/1SX6NBoVAgQJ6U1MVXOaj8PK2l7WJ3RER9xtqwdhxkhw/edit?usp=sharing"",""สระบุรี!M496"")"),720)</f>
        <v>720</v>
      </c>
      <c r="O601" s="169">
        <f t="shared" ca="1" si="126"/>
        <v>15.824175824175825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IFERROR(__xludf.DUMMYFUNCTION("IMPORTRANGE(""https://docs.google.com/spreadsheets/d/1SX6NBoVAgQJ6U1MVXOaj8PK2l7WJ3RER9xtqwdhxkhw/edit?usp=sharing"",""สระบุรี!M497"")"),0)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IFERROR(__xludf.DUMMYFUNCTION("IMPORTRANGE(""https://docs.google.com/spreadsheets/d/1SX6NBoVAgQJ6U1MVXOaj8PK2l7WJ3RER9xtqwdhxkhw/edit?usp=sharing"",""สระบุรี!M498"")"),0)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IFERROR(__xludf.DUMMYFUNCTION("IMPORTRANGE(""https://docs.google.com/spreadsheets/d/1SX6NBoVAgQJ6U1MVXOaj8PK2l7WJ3RER9xtqwdhxkhw/edit?usp=sharing"",""สระบุรี!M499"")"),0)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IFERROR(__xludf.DUMMYFUNCTION("IMPORTRANGE(""https://docs.google.com/spreadsheets/d/1SX6NBoVAgQJ6U1MVXOaj8PK2l7WJ3RER9xtqwdhxkhw/edit?usp=sharing"",""สระบุรี!M500"")"),720)</f>
        <v>720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IFERROR(__xludf.DUMMYFUNCTION("IMPORTRANGE(""https://docs.google.com/spreadsheets/d/1SX6NBoVAgQJ6U1MVXOaj8PK2l7WJ3RER9xtqwdhxkhw/edit?usp=sharing"",""สระบุรี!I506"")"),50)</f>
        <v>50</v>
      </c>
      <c r="J611" s="162">
        <f ca="1">IFERROR(__xludf.DUMMYFUNCTION("IMPORTRANGE(""https://docs.google.com/spreadsheets/d/1SX6NBoVAgQJ6U1MVXOaj8PK2l7WJ3RER9xtqwdhxkhw/edit?usp=sharing"",""สระบุรี!J506"")"),0)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IFERROR(__xludf.DUMMYFUNCTION("IMPORTRANGE(""https://docs.google.com/spreadsheets/d/1SX6NBoVAgQJ6U1MVXOaj8PK2l7WJ3RER9xtqwdhxkhw/edit?usp=sharing"",""สระบุรี!I507"")"),0)</f>
        <v>0</v>
      </c>
      <c r="J612" s="198">
        <f ca="1">IFERROR(__xludf.DUMMYFUNCTION("IMPORTRANGE(""https://docs.google.com/spreadsheets/d/1SX6NBoVAgQJ6U1MVXOaj8PK2l7WJ3RER9xtqwdhxkhw/edit?usp=sharing"",""สระบุรี!J507"")"),0)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IFERROR(__xludf.DUMMYFUNCTION("IMPORTRANGE(""https://docs.google.com/spreadsheets/d/1SX6NBoVAgQJ6U1MVXOaj8PK2l7WJ3RER9xtqwdhxkhw/edit?usp=sharing"",""สระบุรี!I508"")"),0)</f>
        <v>0</v>
      </c>
      <c r="J613" s="198">
        <f ca="1">IFERROR(__xludf.DUMMYFUNCTION("IMPORTRANGE(""https://docs.google.com/spreadsheets/d/1SX6NBoVAgQJ6U1MVXOaj8PK2l7WJ3RER9xtqwdhxkhw/edit?usp=sharing"",""สระบุรี!J508"")"),0)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IFERROR(__xludf.DUMMYFUNCTION("IMPORTRANGE(""https://docs.google.com/spreadsheets/d/1SX6NBoVAgQJ6U1MVXOaj8PK2l7WJ3RER9xtqwdhxkhw/edit?usp=sharing"",""สระบุรี!I509"")"),0)</f>
        <v>0</v>
      </c>
      <c r="J614" s="198">
        <f ca="1">IFERROR(__xludf.DUMMYFUNCTION("IMPORTRANGE(""https://docs.google.com/spreadsheets/d/1SX6NBoVAgQJ6U1MVXOaj8PK2l7WJ3RER9xtqwdhxkhw/edit?usp=sharing"",""สระบุรี!J509"")"),0)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IFERROR(__xludf.DUMMYFUNCTION("IMPORTRANGE(""https://docs.google.com/spreadsheets/d/1SX6NBoVAgQJ6U1MVXOaj8PK2l7WJ3RER9xtqwdhxkhw/edit?usp=sharing"",""สระบุรี!I510"")"),0)</f>
        <v>0</v>
      </c>
      <c r="J615" s="198">
        <f ca="1">IFERROR(__xludf.DUMMYFUNCTION("IMPORTRANGE(""https://docs.google.com/spreadsheets/d/1SX6NBoVAgQJ6U1MVXOaj8PK2l7WJ3RER9xtqwdhxkhw/edit?usp=sharing"",""สระบุรี!J510"")"),0)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IFERROR(__xludf.DUMMYFUNCTION("IMPORTRANGE(""https://docs.google.com/spreadsheets/d/1SX6NBoVAgQJ6U1MVXOaj8PK2l7WJ3RER9xtqwdhxkhw/edit?usp=sharing"",""สระบุรี!I511"")"),0)</f>
        <v>0</v>
      </c>
      <c r="J616" s="198">
        <f ca="1">IFERROR(__xludf.DUMMYFUNCTION("IMPORTRANGE(""https://docs.google.com/spreadsheets/d/1SX6NBoVAgQJ6U1MVXOaj8PK2l7WJ3RER9xtqwdhxkhw/edit?usp=sharing"",""สระบุรี!J511"")"),0)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IFERROR(__xludf.DUMMYFUNCTION("IMPORTRANGE(""https://docs.google.com/spreadsheets/d/1SX6NBoVAgQJ6U1MVXOaj8PK2l7WJ3RER9xtqwdhxkhw/edit?usp=sharing"",""สระบุรี!I512"")"),0)</f>
        <v>0</v>
      </c>
      <c r="J617" s="188">
        <f ca="1">IFERROR(__xludf.DUMMYFUNCTION("IMPORTRANGE(""https://docs.google.com/spreadsheets/d/1SX6NBoVAgQJ6U1MVXOaj8PK2l7WJ3RER9xtqwdhxkhw/edit?usp=sharing"",""สระบุรี!J512"")"),0)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IFERROR(__xludf.DUMMYFUNCTION("IMPORTRANGE(""https://docs.google.com/spreadsheets/d/1SX6NBoVAgQJ6U1MVXOaj8PK2l7WJ3RER9xtqwdhxkhw/edit?usp=sharing"",""สระบุรี!I513"")"),0)</f>
        <v>0</v>
      </c>
      <c r="J618" s="189">
        <f ca="1">IFERROR(__xludf.DUMMYFUNCTION("IMPORTRANGE(""https://docs.google.com/spreadsheets/d/1SX6NBoVAgQJ6U1MVXOaj8PK2l7WJ3RER9xtqwdhxkhw/edit?usp=sharing"",""สระบุรี!J513"")"),0)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IFERROR(__xludf.DUMMYFUNCTION("IMPORTRANGE(""https://docs.google.com/spreadsheets/d/1SX6NBoVAgQJ6U1MVXOaj8PK2l7WJ3RER9xtqwdhxkhw/edit?usp=sharing"",""สระบุรี!I514"")"),0)</f>
        <v>0</v>
      </c>
      <c r="J619" s="189">
        <f ca="1">IFERROR(__xludf.DUMMYFUNCTION("IMPORTRANGE(""https://docs.google.com/spreadsheets/d/1SX6NBoVAgQJ6U1MVXOaj8PK2l7WJ3RER9xtqwdhxkhw/edit?usp=sharing"",""สระบุรี!J514"")"),0)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IFERROR(__xludf.DUMMYFUNCTION("IMPORTRANGE(""https://docs.google.com/spreadsheets/d/1SX6NBoVAgQJ6U1MVXOaj8PK2l7WJ3RER9xtqwdhxkhw/edit?usp=sharing"",""สระบุรี!I515"")"),0)</f>
        <v>0</v>
      </c>
      <c r="J620" s="203">
        <f ca="1">IFERROR(__xludf.DUMMYFUNCTION("IMPORTRANGE(""https://docs.google.com/spreadsheets/d/1SX6NBoVAgQJ6U1MVXOaj8PK2l7WJ3RER9xtqwdhxkhw/edit?usp=sharing"",""สระบุรี!J515"")"),0)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IFERROR(__xludf.DUMMYFUNCTION("IMPORTRANGE(""https://docs.google.com/spreadsheets/d/1SX6NBoVAgQJ6U1MVXOaj8PK2l7WJ3RER9xtqwdhxkhw/edit?usp=sharing"",""สระบุรี!I516"")"),0)</f>
        <v>0</v>
      </c>
      <c r="J621" s="203">
        <f ca="1">IFERROR(__xludf.DUMMYFUNCTION("IMPORTRANGE(""https://docs.google.com/spreadsheets/d/1SX6NBoVAgQJ6U1MVXOaj8PK2l7WJ3RER9xtqwdhxkhw/edit?usp=sharing"",""สระบุรี!J516"")"),0)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IFERROR(__xludf.DUMMYFUNCTION("IMPORTRANGE(""https://docs.google.com/spreadsheets/d/1SX6NBoVAgQJ6U1MVXOaj8PK2l7WJ3RER9xtqwdhxkhw/edit?usp=sharing"",""สระบุรี!I517"")"),0)</f>
        <v>0</v>
      </c>
      <c r="J622" s="189">
        <f ca="1">IFERROR(__xludf.DUMMYFUNCTION("IMPORTRANGE(""https://docs.google.com/spreadsheets/d/1SX6NBoVAgQJ6U1MVXOaj8PK2l7WJ3RER9xtqwdhxkhw/edit?usp=sharing"",""สระบุรี!J517"")"),0)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IFERROR(__xludf.DUMMYFUNCTION("IMPORTRANGE(""https://docs.google.com/spreadsheets/d/1SX6NBoVAgQJ6U1MVXOaj8PK2l7WJ3RER9xtqwdhxkhw/edit?usp=sharing"",""สระบุรี!I518"")"),0)</f>
        <v>0</v>
      </c>
      <c r="J623" s="189">
        <f ca="1">IFERROR(__xludf.DUMMYFUNCTION("IMPORTRANGE(""https://docs.google.com/spreadsheets/d/1SX6NBoVAgQJ6U1MVXOaj8PK2l7WJ3RER9xtqwdhxkhw/edit?usp=sharing"",""สระบุรี!J518"")"),0)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IFERROR(__xludf.DUMMYFUNCTION("IMPORTRANGE(""https://docs.google.com/spreadsheets/d/1SX6NBoVAgQJ6U1MVXOaj8PK2l7WJ3RER9xtqwdhxkhw/edit?usp=sharing"",""สระบุรี!I519"")"),0)</f>
        <v>0</v>
      </c>
      <c r="J624" s="188">
        <f ca="1">IFERROR(__xludf.DUMMYFUNCTION("IMPORTRANGE(""https://docs.google.com/spreadsheets/d/1SX6NBoVAgQJ6U1MVXOaj8PK2l7WJ3RER9xtqwdhxkhw/edit?usp=sharing"",""สระบุรี!J519"")"),0)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IFERROR(__xludf.DUMMYFUNCTION("IMPORTRANGE(""https://docs.google.com/spreadsheets/d/1SX6NBoVAgQJ6U1MVXOaj8PK2l7WJ3RER9xtqwdhxkhw/edit?usp=sharing"",""สระบุรี!I520"")"),0)</f>
        <v>0</v>
      </c>
      <c r="J625" s="189">
        <f ca="1">IFERROR(__xludf.DUMMYFUNCTION("IMPORTRANGE(""https://docs.google.com/spreadsheets/d/1SX6NBoVAgQJ6U1MVXOaj8PK2l7WJ3RER9xtqwdhxkhw/edit?usp=sharing"",""สระบุรี!J520"")"),0)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IFERROR(__xludf.DUMMYFUNCTION("IMPORTRANGE(""https://docs.google.com/spreadsheets/d/1SX6NBoVAgQJ6U1MVXOaj8PK2l7WJ3RER9xtqwdhxkhw/edit?usp=sharing"",""สระบุรี!I521"")"),0)</f>
        <v>0</v>
      </c>
      <c r="J626" s="189">
        <f ca="1">IFERROR(__xludf.DUMMYFUNCTION("IMPORTRANGE(""https://docs.google.com/spreadsheets/d/1SX6NBoVAgQJ6U1MVXOaj8PK2l7WJ3RER9xtqwdhxkhw/edit?usp=sharing"",""สระบุรี!J521"")"),0)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IFERROR(__xludf.DUMMYFUNCTION("IMPORTRANGE(""https://docs.google.com/spreadsheets/d/1SX6NBoVAgQJ6U1MVXOaj8PK2l7WJ3RER9xtqwdhxkhw/edit?usp=sharing"",""สระบุรี!I523"")"),2448689.05)</f>
        <v>2448689.0499999998</v>
      </c>
      <c r="J628" s="341">
        <f ca="1">IFERROR(__xludf.DUMMYFUNCTION("IMPORTRANGE(""https://docs.google.com/spreadsheets/d/1SX6NBoVAgQJ6U1MVXOaj8PK2l7WJ3RER9xtqwdhxkhw/edit?usp=sharing"",""สระบุรี!J523"")"),462546.74)</f>
        <v>462546.74</v>
      </c>
      <c r="K628" s="342">
        <f t="shared" ref="K628:K635" ca="1" si="129">IF(I628&gt;0,J628*100/I628,0)</f>
        <v>18.889566235451579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IFERROR(__xludf.DUMMYFUNCTION("IMPORTRANGE(""https://docs.google.com/spreadsheets/d/1SX6NBoVAgQJ6U1MVXOaj8PK2l7WJ3RER9xtqwdhxkhw/edit?usp=sharing"",""สระบุรี!I524"")"),168)</f>
        <v>168</v>
      </c>
      <c r="J629" s="341">
        <f ca="1">IFERROR(__xludf.DUMMYFUNCTION("IMPORTRANGE(""https://docs.google.com/spreadsheets/d/1SX6NBoVAgQJ6U1MVXOaj8PK2l7WJ3RER9xtqwdhxkhw/edit?usp=sharing"",""สระบุรี!J524"")"),46)</f>
        <v>46</v>
      </c>
      <c r="K629" s="342">
        <f t="shared" ca="1" si="129"/>
        <v>27.38095238095238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IFERROR(__xludf.DUMMYFUNCTION("IMPORTRANGE(""https://docs.google.com/spreadsheets/d/1SX6NBoVAgQJ6U1MVXOaj8PK2l7WJ3RER9xtqwdhxkhw/edit?usp=sharing"",""สระบุรี!I525"")"),17020029.08)</f>
        <v>17020029.079999998</v>
      </c>
      <c r="J630" s="341">
        <f ca="1">IFERROR(__xludf.DUMMYFUNCTION("IMPORTRANGE(""https://docs.google.com/spreadsheets/d/1SX6NBoVAgQJ6U1MVXOaj8PK2l7WJ3RER9xtqwdhxkhw/edit?usp=sharing"",""สระบุรี!J525"")"),504352.75)</f>
        <v>504352.75</v>
      </c>
      <c r="K630" s="342">
        <f t="shared" ca="1" si="129"/>
        <v>2.9632895903371752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IFERROR(__xludf.DUMMYFUNCTION("IMPORTRANGE(""https://docs.google.com/spreadsheets/d/1SX6NBoVAgQJ6U1MVXOaj8PK2l7WJ3RER9xtqwdhxkhw/edit?usp=sharing"",""สระบุรี!I526"")"),253)</f>
        <v>253</v>
      </c>
      <c r="J631" s="341">
        <f ca="1">IFERROR(__xludf.DUMMYFUNCTION("IMPORTRANGE(""https://docs.google.com/spreadsheets/d/1SX6NBoVAgQJ6U1MVXOaj8PK2l7WJ3RER9xtqwdhxkhw/edit?usp=sharing"",""สระบุรี!J526"")"),61)</f>
        <v>61</v>
      </c>
      <c r="K631" s="342">
        <f t="shared" ca="1" si="129"/>
        <v>24.110671936758894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IFERROR(__xludf.DUMMYFUNCTION("IMPORTRANGE(""https://docs.google.com/spreadsheets/d/1SX6NBoVAgQJ6U1MVXOaj8PK2l7WJ3RER9xtqwdhxkhw/edit?usp=sharing"",""สระบุรี!I527"")"),2463547.53)</f>
        <v>2463547.5299999998</v>
      </c>
      <c r="J632" s="341">
        <f ca="1">IFERROR(__xludf.DUMMYFUNCTION("IMPORTRANGE(""https://docs.google.com/spreadsheets/d/1SX6NBoVAgQJ6U1MVXOaj8PK2l7WJ3RER9xtqwdhxkhw/edit?usp=sharing"",""สระบุรี!J527"")"),73322.74)</f>
        <v>73322.740000000005</v>
      </c>
      <c r="K632" s="342">
        <f t="shared" ca="1" si="129"/>
        <v>2.976307098081441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IFERROR(__xludf.DUMMYFUNCTION("IMPORTRANGE(""https://docs.google.com/spreadsheets/d/1SX6NBoVAgQJ6U1MVXOaj8PK2l7WJ3RER9xtqwdhxkhw/edit?usp=sharing"",""สระบุรี!I528"")"),90)</f>
        <v>90</v>
      </c>
      <c r="J633" s="341">
        <f ca="1">IFERROR(__xludf.DUMMYFUNCTION("IMPORTRANGE(""https://docs.google.com/spreadsheets/d/1SX6NBoVAgQJ6U1MVXOaj8PK2l7WJ3RER9xtqwdhxkhw/edit?usp=sharing"",""สระบุรี!J528"")"),14)</f>
        <v>14</v>
      </c>
      <c r="K633" s="342">
        <f t="shared" ca="1" si="129"/>
        <v>15.555555555555555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IFERROR(__xludf.DUMMYFUNCTION("IMPORTRANGE(""https://docs.google.com/spreadsheets/d/1SX6NBoVAgQJ6U1MVXOaj8PK2l7WJ3RER9xtqwdhxkhw/edit?usp=sharing"",""สระบุรี!I529"")"),5265000)</f>
        <v>5265000</v>
      </c>
      <c r="J634" s="341">
        <f ca="1">IFERROR(__xludf.DUMMYFUNCTION("IMPORTRANGE(""https://docs.google.com/spreadsheets/d/1SX6NBoVAgQJ6U1MVXOaj8PK2l7WJ3RER9xtqwdhxkhw/edit?usp=sharing"",""สระบุรี!J529"")"),650000)</f>
        <v>650000</v>
      </c>
      <c r="K634" s="342">
        <f t="shared" ca="1" si="129"/>
        <v>12.345679012345679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IFERROR(__xludf.DUMMYFUNCTION("IMPORTRANGE(""https://docs.google.com/spreadsheets/d/1SX6NBoVAgQJ6U1MVXOaj8PK2l7WJ3RER9xtqwdhxkhw/edit?usp=sharing"",""สระบุรี!I530"")"),134)</f>
        <v>134</v>
      </c>
      <c r="J635" s="504">
        <f ca="1">IFERROR(__xludf.DUMMYFUNCTION("IMPORTRANGE(""https://docs.google.com/spreadsheets/d/1SX6NBoVAgQJ6U1MVXOaj8PK2l7WJ3RER9xtqwdhxkhw/edit?usp=sharing"",""สระบุรี!J530"")"),13)</f>
        <v>13</v>
      </c>
      <c r="K635" s="486">
        <f t="shared" ca="1" si="129"/>
        <v>9.7014925373134329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G556" sqref="G55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238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7537048</v>
      </c>
      <c r="M8" s="23">
        <f t="shared" ca="1" si="0"/>
        <v>3578397.94</v>
      </c>
      <c r="N8" s="23">
        <f t="shared" ca="1" si="0"/>
        <v>3108201.59</v>
      </c>
      <c r="O8" s="22">
        <f t="shared" ref="O8:O16" ca="1" si="1">IF(L8&gt;0,N8*100/L8,0)</f>
        <v>41.238978310871843</v>
      </c>
      <c r="P8" s="22">
        <f t="shared" ref="P8:P16" ca="1" si="2">IF(M8&gt;0,N8*100/M8,0)</f>
        <v>86.860143620583457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7537048</v>
      </c>
      <c r="M10" s="30">
        <f t="shared" ca="1" si="4"/>
        <v>3578397.94</v>
      </c>
      <c r="N10" s="30">
        <f t="shared" ca="1" si="4"/>
        <v>3108201.59</v>
      </c>
      <c r="O10" s="29">
        <f t="shared" ca="1" si="1"/>
        <v>41.238978310871843</v>
      </c>
      <c r="P10" s="29">
        <f t="shared" ca="1" si="2"/>
        <v>86.860143620583457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7133748</v>
      </c>
      <c r="M12" s="38">
        <f t="shared" ca="1" si="6"/>
        <v>3175097.94</v>
      </c>
      <c r="N12" s="38">
        <f t="shared" ca="1" si="6"/>
        <v>2704901.59</v>
      </c>
      <c r="O12" s="38">
        <f t="shared" ca="1" si="1"/>
        <v>37.916977022457196</v>
      </c>
      <c r="P12" s="38">
        <f t="shared" ca="1" si="2"/>
        <v>85.191122954777271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2470000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4663748</v>
      </c>
      <c r="M14" s="38">
        <f t="shared" si="8"/>
        <v>0</v>
      </c>
      <c r="N14" s="38">
        <f t="shared" ca="1" si="8"/>
        <v>806531.47</v>
      </c>
      <c r="O14" s="38">
        <f t="shared" ca="1" si="1"/>
        <v>17.293633146559376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403300</v>
      </c>
      <c r="M16" s="38">
        <f t="shared" ca="1" si="10"/>
        <v>403300</v>
      </c>
      <c r="N16" s="38">
        <f t="shared" ca="1" si="10"/>
        <v>403300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4389410</v>
      </c>
      <c r="M18" s="23">
        <f t="shared" ca="1" si="11"/>
        <v>3578397.94</v>
      </c>
      <c r="N18" s="23">
        <f t="shared" ca="1" si="11"/>
        <v>2301670.12</v>
      </c>
      <c r="O18" s="22">
        <f t="shared" ref="O18:O20" ca="1" si="12">IF(L18&gt;0,N18*100/L18,0)</f>
        <v>52.436890607165886</v>
      </c>
      <c r="P18" s="22">
        <f t="shared" ref="P18:P26" ca="1" si="13">IF(M18&gt;0,N18*100/M18,0)</f>
        <v>64.321245389494052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4389410</v>
      </c>
      <c r="M20" s="30">
        <f t="shared" ca="1" si="15"/>
        <v>3578397.94</v>
      </c>
      <c r="N20" s="30">
        <f t="shared" ca="1" si="15"/>
        <v>2301670.12</v>
      </c>
      <c r="O20" s="29">
        <f t="shared" ca="1" si="12"/>
        <v>52.436890607165886</v>
      </c>
      <c r="P20" s="29">
        <f t="shared" ca="1" si="13"/>
        <v>64.321245389494052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3986110</v>
      </c>
      <c r="M22" s="41">
        <f t="shared" ca="1" si="18"/>
        <v>3175097.94</v>
      </c>
      <c r="N22" s="38">
        <f t="shared" ca="1" si="18"/>
        <v>1898370.12</v>
      </c>
      <c r="O22" s="38">
        <f t="shared" ca="1" si="17"/>
        <v>47.624629526029139</v>
      </c>
      <c r="P22" s="38">
        <f t="shared" ca="1" si="13"/>
        <v>59.789340545507706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2470000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1516110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403300</v>
      </c>
      <c r="M26" s="49">
        <f t="shared" ca="1" si="22"/>
        <v>403300</v>
      </c>
      <c r="N26" s="49">
        <f t="shared" ca="1" si="22"/>
        <v>403300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3147638</v>
      </c>
      <c r="M28" s="23">
        <f t="shared" si="23"/>
        <v>0</v>
      </c>
      <c r="N28" s="23">
        <f t="shared" ca="1" si="23"/>
        <v>806531.47</v>
      </c>
      <c r="O28" s="22">
        <f t="shared" ref="O28:O30" ca="1" si="24">IF(L28&gt;0,N28*100/L28,0)</f>
        <v>25.623387123932293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3147638</v>
      </c>
      <c r="M30" s="30">
        <f t="shared" si="27"/>
        <v>0</v>
      </c>
      <c r="N30" s="30">
        <f t="shared" ca="1" si="27"/>
        <v>806531.47</v>
      </c>
      <c r="O30" s="29">
        <f t="shared" ca="1" si="24"/>
        <v>25.623387123932293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3147638</v>
      </c>
      <c r="M32" s="38">
        <f t="shared" si="30"/>
        <v>0</v>
      </c>
      <c r="N32" s="38">
        <f t="shared" ca="1" si="30"/>
        <v>806531.47</v>
      </c>
      <c r="O32" s="38">
        <f t="shared" ca="1" si="29"/>
        <v>25.623387123932293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3147638</v>
      </c>
      <c r="M34" s="38">
        <f t="shared" si="32"/>
        <v>0</v>
      </c>
      <c r="N34" s="38">
        <f t="shared" ca="1" si="32"/>
        <v>806531.47</v>
      </c>
      <c r="O34" s="38">
        <f t="shared" ca="1" si="29"/>
        <v>25.623387123932293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4389410</v>
      </c>
      <c r="M37" s="54">
        <f t="shared" ca="1" si="33"/>
        <v>3578397.94</v>
      </c>
      <c r="N37" s="54">
        <f t="shared" ca="1" si="33"/>
        <v>2301670.12</v>
      </c>
      <c r="O37" s="55">
        <f t="shared" ca="1" si="29"/>
        <v>52.436890607165886</v>
      </c>
      <c r="P37" s="55">
        <f t="shared" ca="1" si="25"/>
        <v>64.321245389494052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1085100</v>
      </c>
      <c r="M41" s="78">
        <f t="shared" ca="1" si="34"/>
        <v>877900</v>
      </c>
      <c r="N41" s="78">
        <f t="shared" ca="1" si="34"/>
        <v>574726.26</v>
      </c>
      <c r="O41" s="77">
        <f t="shared" ref="O41:O43" ca="1" si="35">IF(L41&gt;0,N41*100/L41,0)</f>
        <v>52.965280619297758</v>
      </c>
      <c r="P41" s="77">
        <f t="shared" ref="P41:P43" ca="1" si="36">IF(M41&gt;0,N41*100/M41,0)</f>
        <v>65.466028021414743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1085100</v>
      </c>
      <c r="M43" s="78">
        <f t="shared" ca="1" si="38"/>
        <v>877900</v>
      </c>
      <c r="N43" s="78">
        <f t="shared" ca="1" si="38"/>
        <v>574726.26</v>
      </c>
      <c r="O43" s="77">
        <f t="shared" ca="1" si="35"/>
        <v>52.965280619297758</v>
      </c>
      <c r="P43" s="77">
        <f t="shared" ca="1" si="36"/>
        <v>65.466028021414743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989100</v>
      </c>
      <c r="M45" s="49">
        <f ca="1">IFERROR(__xludf.DUMMYFUNCTION("IMPORTRANGE(""https://docs.google.com/spreadsheets/d/1Yj_ptqi66GCucihVvJfMjLAmec39IyEx_6qawtMGysU/edit?usp=sharing"",""สบก!Q59"")"),781900)</f>
        <v>781900</v>
      </c>
      <c r="N45" s="49">
        <f ca="1">IFERROR(__xludf.DUMMYFUNCTION("IMPORTRANGE(""https://docs.google.com/spreadsheets/d/1Yj_ptqi66GCucihVvJfMjLAmec39IyEx_6qawtMGysU/edit?usp=sharing"",""สบก!R59"")"),478726.26)</f>
        <v>478726.26</v>
      </c>
      <c r="O45" s="38">
        <f ca="1">IF(L45&gt;0,N45*100/L45,0)</f>
        <v>48.400188049742191</v>
      </c>
      <c r="P45" s="38">
        <f ca="1">IF(M45&gt;0,N45*100/M45,0)</f>
        <v>61.226021230336357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IFERROR(__xludf.DUMMYFUNCTION("IMPORTRANGE(""https://docs.google.com/spreadsheets/d/1Yj_ptqi66GCucihVvJfMjLAmec39IyEx_6qawtMGysU/edit?usp=sharing"",""สบก!M59"")"),989100)</f>
        <v>989100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IFERROR(__xludf.DUMMYFUNCTION("IMPORTRANGE(""https://docs.google.com/spreadsheets/d/1Yj_ptqi66GCucihVvJfMjLAmec39IyEx_6qawtMGysU/edit?usp=sharing"",""สบก!O59"")"),96000)</f>
        <v>96000</v>
      </c>
      <c r="M49" s="49">
        <f ca="1">L49</f>
        <v>96000</v>
      </c>
      <c r="N49" s="49">
        <f ca="1">IFERROR(__xludf.DUMMYFUNCTION("IMPORTRANGE(""https://docs.google.com/spreadsheets/d/1Yj_ptqi66GCucihVvJfMjLAmec39IyEx_6qawtMGysU/edit?usp=sharing"",""สบก!S59"")"),96000)</f>
        <v>96000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487000</v>
      </c>
      <c r="M53" s="121">
        <f t="shared" ca="1" si="39"/>
        <v>393942.94</v>
      </c>
      <c r="N53" s="121">
        <f t="shared" ca="1" si="39"/>
        <v>298786</v>
      </c>
      <c r="O53" s="120">
        <f t="shared" ref="O53:O55" ca="1" si="40">IF(L53&gt;0,N53*100/L53,0)</f>
        <v>61.352361396303898</v>
      </c>
      <c r="P53" s="120">
        <f t="shared" ref="P53:P55" ca="1" si="41">IF(M53&gt;0,N53*100/M53,0)</f>
        <v>75.844994201444507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487000</v>
      </c>
      <c r="M55" s="121">
        <f t="shared" ca="1" si="43"/>
        <v>393942.94</v>
      </c>
      <c r="N55" s="121">
        <f t="shared" ca="1" si="43"/>
        <v>298786</v>
      </c>
      <c r="O55" s="120">
        <f t="shared" ca="1" si="40"/>
        <v>61.352361396303898</v>
      </c>
      <c r="P55" s="120">
        <f t="shared" ca="1" si="41"/>
        <v>75.844994201444507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487000</v>
      </c>
      <c r="M57" s="49">
        <f ca="1">IFERROR(__xludf.DUMMYFUNCTION("IMPORTRANGE(""https://docs.google.com/spreadsheets/d/1Yj_ptqi66GCucihVvJfMjLAmec39IyEx_6qawtMGysU/edit?usp=sharing"",""สบก!Z59"")"),393942.94)</f>
        <v>393942.94</v>
      </c>
      <c r="N57" s="49">
        <f ca="1">IFERROR(__xludf.DUMMYFUNCTION("IMPORTRANGE(""https://docs.google.com/spreadsheets/d/1Yj_ptqi66GCucihVvJfMjLAmec39IyEx_6qawtMGysU/edit?usp=sharing"",""สบก!AA59"")"),298786)</f>
        <v>298786</v>
      </c>
      <c r="O57" s="38">
        <f ca="1">IF(L57&gt;0,N57*100/L57,0)</f>
        <v>61.352361396303898</v>
      </c>
      <c r="P57" s="38">
        <f ca="1">IF(M57&gt;0,N57*100/M57,0)</f>
        <v>75.844994201444507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IFERROR(__xludf.DUMMYFUNCTION("IMPORTRANGE(""https://docs.google.com/spreadsheets/d/1Yj_ptqi66GCucihVvJfMjLAmec39IyEx_6qawtMGysU/edit?usp=sharing"",""สบก!V59"")"),487000)</f>
        <v>487000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IFERROR(__xludf.DUMMYFUNCTION("IMPORTRANGE(""https://docs.google.com/spreadsheets/d/1Yj_ptqi66GCucihVvJfMjLAmec39IyEx_6qawtMGysU/edit?usp=sharing"",""สบก!X59"")"),0)</f>
        <v>0</v>
      </c>
      <c r="M61" s="49"/>
      <c r="N61" s="49">
        <f ca="1">IFERROR(__xludf.DUMMYFUNCTION("IMPORTRANGE(""https://docs.google.com/spreadsheets/d/1Yj_ptqi66GCucihVvJfMjLAmec39IyEx_6qawtMGysU/edit?usp=sharing"",""สบก!AB59"")"),0)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IFERROR(__xludf.DUMMYFUNCTION("IMPORTRANGE(""https://docs.google.com/spreadsheets/d/1SX6NBoVAgQJ6U1MVXOaj8PK2l7WJ3RER9xtqwdhxkhw/edit?usp=sharing"",""กาญจนบุรี!I9"")"),0)</f>
        <v>0</v>
      </c>
      <c r="J64" s="142">
        <f ca="1">IFERROR(__xludf.DUMMYFUNCTION("IMPORTRANGE(""https://docs.google.com/spreadsheets/d/1SX6NBoVAgQJ6U1MVXOaj8PK2l7WJ3RER9xtqwdhxkhw/edit?usp=sharing"",""กาญจนบุรี!J9"")"),0)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IFERROR(__xludf.DUMMYFUNCTION("IMPORTRANGE(""https://docs.google.com/spreadsheets/d/1SX6NBoVAgQJ6U1MVXOaj8PK2l7WJ3RER9xtqwdhxkhw/edit?usp=sharing"",""กาญจนบุรี!I10"")"),0)</f>
        <v>0</v>
      </c>
      <c r="J65" s="142">
        <f ca="1">IFERROR(__xludf.DUMMYFUNCTION("IMPORTRANGE(""https://docs.google.com/spreadsheets/d/1SX6NBoVAgQJ6U1MVXOaj8PK2l7WJ3RER9xtqwdhxkhw/edit?usp=sharing"",""กาญจนบุรี!J10"")"),0)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IFERROR(__xludf.DUMMYFUNCTION("IMPORTRANGE(""https://docs.google.com/spreadsheets/d/1Yj_ptqi66GCucihVvJfMjLAmec39IyEx_6qawtMGysU/edit?usp=sharing"",""สบก!AI59"")"),0)</f>
        <v>0</v>
      </c>
      <c r="N70" s="169">
        <f ca="1">IFERROR(__xludf.DUMMYFUNCTION("IMPORTRANGE(""https://docs.google.com/spreadsheets/d/1Yj_ptqi66GCucihVvJfMjLAmec39IyEx_6qawtMGysU/edit?usp=sharing"",""สบก!AJ59"")"),0)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IFERROR(__xludf.DUMMYFUNCTION("IMPORTRANGE(""https://docs.google.com/spreadsheets/d/1Yj_ptqi66GCucihVvJfMjLAmec39IyEx_6qawtMGysU/edit?usp=sharing"",""สบก!AE59"")"),0)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IFERROR(__xludf.DUMMYFUNCTION("IMPORTRANGE(""https://docs.google.com/spreadsheets/d/1Yj_ptqi66GCucihVvJfMjLAmec39IyEx_6qawtMGysU/edit?usp=sharing"",""สบก!AF59"")"),0)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IFERROR(__xludf.DUMMYFUNCTION("IMPORTRANGE(""https://docs.google.com/spreadsheets/d/1Yj_ptqi66GCucihVvJfMjLAmec39IyEx_6qawtMGysU/edit?usp=sharing"",""สบก!AG59"")"),0)</f>
        <v>0</v>
      </c>
      <c r="M74" s="49"/>
      <c r="N74" s="49">
        <f ca="1">IFERROR(__xludf.DUMMYFUNCTION("IMPORTRANGE(""https://docs.google.com/spreadsheets/d/1Yj_ptqi66GCucihVvJfMjLAmec39IyEx_6qawtMGysU/edit?usp=sharing"",""สบก!AK59"")"),0)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IFERROR(__xludf.DUMMYFUNCTION("IMPORTRANGE(""https://docs.google.com/spreadsheets/d/1SX6NBoVAgQJ6U1MVXOaj8PK2l7WJ3RER9xtqwdhxkhw/edit?usp=sharing"",""กาญจนบุรี!J16"")"),0)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IFERROR(__xludf.DUMMYFUNCTION("IMPORTRANGE(""https://docs.google.com/spreadsheets/d/1SX6NBoVAgQJ6U1MVXOaj8PK2l7WJ3RER9xtqwdhxkhw/edit?usp=sharing"",""กาญจนบุรี!J17"")"),0)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IFERROR(__xludf.DUMMYFUNCTION("IMPORTRANGE(""https://docs.google.com/spreadsheets/d/1SX6NBoVAgQJ6U1MVXOaj8PK2l7WJ3RER9xtqwdhxkhw/edit?usp=sharing"",""กาญจนบุรี!J18"")"),0)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IFERROR(__xludf.DUMMYFUNCTION("IMPORTRANGE(""https://docs.google.com/spreadsheets/d/1SX6NBoVAgQJ6U1MVXOaj8PK2l7WJ3RER9xtqwdhxkhw/edit?usp=sharing"",""กาญจนบุรี!J19"")"),0)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IFERROR(__xludf.DUMMYFUNCTION("IMPORTRANGE(""https://docs.google.com/spreadsheets/d/1SX6NBoVAgQJ6U1MVXOaj8PK2l7WJ3RER9xtqwdhxkhw/edit?usp=sharing"",""กาญจนบุรี!I20"")"),0)</f>
        <v>0</v>
      </c>
      <c r="J80" s="201">
        <f ca="1">IFERROR(__xludf.DUMMYFUNCTION("IMPORTRANGE(""https://docs.google.com/spreadsheets/d/1SX6NBoVAgQJ6U1MVXOaj8PK2l7WJ3RER9xtqwdhxkhw/edit?usp=sharing"",""กาญจนบุรี!J20"")"),0)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IFERROR(__xludf.DUMMYFUNCTION("IMPORTRANGE(""https://docs.google.com/spreadsheets/d/1SX6NBoVAgQJ6U1MVXOaj8PK2l7WJ3RER9xtqwdhxkhw/edit?usp=sharing"",""กาญจนบุรี!I21"")"),0)</f>
        <v>0</v>
      </c>
      <c r="J81" s="201">
        <f ca="1">IFERROR(__xludf.DUMMYFUNCTION("IMPORTRANGE(""https://docs.google.com/spreadsheets/d/1SX6NBoVAgQJ6U1MVXOaj8PK2l7WJ3RER9xtqwdhxkhw/edit?usp=sharing"",""กาญจนบุรี!J21"")"),0)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IFERROR(__xludf.DUMMYFUNCTION("IMPORTRANGE(""https://docs.google.com/spreadsheets/d/1SX6NBoVAgQJ6U1MVXOaj8PK2l7WJ3RER9xtqwdhxkhw/edit?usp=sharing"",""กาญจนบุรี!I22"")"),0)</f>
        <v>0</v>
      </c>
      <c r="J82" s="204">
        <f ca="1">IFERROR(__xludf.DUMMYFUNCTION("IMPORTRANGE(""https://docs.google.com/spreadsheets/d/1SX6NBoVAgQJ6U1MVXOaj8PK2l7WJ3RER9xtqwdhxkhw/edit?usp=sharing"",""กาญจนบุรี!J22"")"),0)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IFERROR(__xludf.DUMMYFUNCTION("IMPORTRANGE(""https://docs.google.com/spreadsheets/d/1SX6NBoVAgQJ6U1MVXOaj8PK2l7WJ3RER9xtqwdhxkhw/edit?usp=sharing"",""กาญจนบุรี!I23"")"),0)</f>
        <v>0</v>
      </c>
      <c r="J83" s="204">
        <f ca="1">IFERROR(__xludf.DUMMYFUNCTION("IMPORTRANGE(""https://docs.google.com/spreadsheets/d/1SX6NBoVAgQJ6U1MVXOaj8PK2l7WJ3RER9xtqwdhxkhw/edit?usp=sharing"",""กาญจนบุรี!J23"")"),0)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IFERROR(__xludf.DUMMYFUNCTION("IMPORTRANGE(""https://docs.google.com/spreadsheets/d/1SX6NBoVAgQJ6U1MVXOaj8PK2l7WJ3RER9xtqwdhxkhw/edit?usp=sharing"",""กาญจนบุรี!I24"")"),0)</f>
        <v>0</v>
      </c>
      <c r="J84" s="189">
        <f ca="1">IFERROR(__xludf.DUMMYFUNCTION("IMPORTRANGE(""https://docs.google.com/spreadsheets/d/1SX6NBoVAgQJ6U1MVXOaj8PK2l7WJ3RER9xtqwdhxkhw/edit?usp=sharing"",""กาญจนบุรี!J24"")"),0)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IFERROR(__xludf.DUMMYFUNCTION("IMPORTRANGE(""https://docs.google.com/spreadsheets/d/1SX6NBoVAgQJ6U1MVXOaj8PK2l7WJ3RER9xtqwdhxkhw/edit?usp=sharing"",""กาญจนบุรี!I25"")"),0)</f>
        <v>0</v>
      </c>
      <c r="J85" s="189">
        <f ca="1">IFERROR(__xludf.DUMMYFUNCTION("IMPORTRANGE(""https://docs.google.com/spreadsheets/d/1SX6NBoVAgQJ6U1MVXOaj8PK2l7WJ3RER9xtqwdhxkhw/edit?usp=sharing"",""กาญจนบุรี!J25"")"),0)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IFERROR(__xludf.DUMMYFUNCTION("IMPORTRANGE(""https://docs.google.com/spreadsheets/d/1SX6NBoVAgQJ6U1MVXOaj8PK2l7WJ3RER9xtqwdhxkhw/edit?usp=sharing"",""กาญจนบุรี!I26"")"),0)</f>
        <v>0</v>
      </c>
      <c r="J86" s="204">
        <f ca="1">IFERROR(__xludf.DUMMYFUNCTION("IMPORTRANGE(""https://docs.google.com/spreadsheets/d/1SX6NBoVAgQJ6U1MVXOaj8PK2l7WJ3RER9xtqwdhxkhw/edit?usp=sharing"",""กาญจนบุรี!J26"")"),0)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IFERROR(__xludf.DUMMYFUNCTION("IMPORTRANGE(""https://docs.google.com/spreadsheets/d/1SX6NBoVAgQJ6U1MVXOaj8PK2l7WJ3RER9xtqwdhxkhw/edit?usp=sharing"",""กาญจนบุรี!I27"")"),0)</f>
        <v>0</v>
      </c>
      <c r="J87" s="204">
        <f ca="1">IFERROR(__xludf.DUMMYFUNCTION("IMPORTRANGE(""https://docs.google.com/spreadsheets/d/1SX6NBoVAgQJ6U1MVXOaj8PK2l7WJ3RER9xtqwdhxkhw/edit?usp=sharing"",""กาญจนบุรี!J27"")"),0)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IFERROR(__xludf.DUMMYFUNCTION("IMPORTRANGE(""https://docs.google.com/spreadsheets/d/1SX6NBoVAgQJ6U1MVXOaj8PK2l7WJ3RER9xtqwdhxkhw/edit?usp=sharing"",""กาญจนบุรี!I28"")"),0)</f>
        <v>0</v>
      </c>
      <c r="J88" s="204">
        <f ca="1">IFERROR(__xludf.DUMMYFUNCTION("IMPORTRANGE(""https://docs.google.com/spreadsheets/d/1SX6NBoVAgQJ6U1MVXOaj8PK2l7WJ3RER9xtqwdhxkhw/edit?usp=sharing"",""กาญจนบุรี!J28"")"),0)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IFERROR(__xludf.DUMMYFUNCTION("IMPORTRANGE(""https://docs.google.com/spreadsheets/d/1SX6NBoVAgQJ6U1MVXOaj8PK2l7WJ3RER9xtqwdhxkhw/edit?usp=sharing"",""กาญจนบุรี!J29"")"),0)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IFERROR(__xludf.DUMMYFUNCTION("IMPORTRANGE(""https://docs.google.com/spreadsheets/d/1SX6NBoVAgQJ6U1MVXOaj8PK2l7WJ3RER9xtqwdhxkhw/edit?usp=sharing"",""กาญจนบุรี!J30"")"),0)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IFERROR(__xludf.DUMMYFUNCTION("IMPORTRANGE(""https://docs.google.com/spreadsheets/d/1SX6NBoVAgQJ6U1MVXOaj8PK2l7WJ3RER9xtqwdhxkhw/edit?usp=sharing"",""กาญจนบุรี!I32"")"),7)</f>
        <v>7</v>
      </c>
      <c r="J92" s="142">
        <f ca="1">IFERROR(__xludf.DUMMYFUNCTION("IMPORTRANGE(""https://docs.google.com/spreadsheets/d/1SX6NBoVAgQJ6U1MVXOaj8PK2l7WJ3RER9xtqwdhxkhw/edit?usp=sharing"",""กาญจนบุรี!J32"")"),0)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IFERROR(__xludf.DUMMYFUNCTION("IMPORTRANGE(""https://docs.google.com/spreadsheets/d/1SX6NBoVAgQJ6U1MVXOaj8PK2l7WJ3RER9xtqwdhxkhw/edit?usp=sharing"",""กาญจนบุรี!I33"")"),2)</f>
        <v>2</v>
      </c>
      <c r="J93" s="142">
        <f ca="1">IFERROR(__xludf.DUMMYFUNCTION("IMPORTRANGE(""https://docs.google.com/spreadsheets/d/1SX6NBoVAgQJ6U1MVXOaj8PK2l7WJ3RER9xtqwdhxkhw/edit?usp=sharing"",""กาญจนบุรี!J33"")"),0)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184800</v>
      </c>
      <c r="O94" s="151">
        <f t="shared" ref="O94:O96" ca="1" si="53">IF(L94&gt;0,N94*100/L94,0)</f>
        <v>57.93829947328819</v>
      </c>
      <c r="P94" s="151">
        <f t="shared" ref="P94:P96" ca="1" si="54">IF(M94&gt;0,N94*100/M94,0)</f>
        <v>57.93829947328819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318960</v>
      </c>
      <c r="M96" s="157">
        <f t="shared" ca="1" si="56"/>
        <v>318960</v>
      </c>
      <c r="N96" s="157">
        <f t="shared" ca="1" si="56"/>
        <v>184800</v>
      </c>
      <c r="O96" s="156">
        <f t="shared" ca="1" si="53"/>
        <v>57.93829947328819</v>
      </c>
      <c r="P96" s="156">
        <f t="shared" ca="1" si="54"/>
        <v>57.93829947328819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134160</v>
      </c>
      <c r="M98" s="168">
        <f ca="1">IFERROR(__xludf.DUMMYFUNCTION("IMPORTRANGE(""https://docs.google.com/spreadsheets/d/1Yj_ptqi66GCucihVvJfMjLAmec39IyEx_6qawtMGysU/edit?usp=sharing"",""สบก!AR59"")"),134160)</f>
        <v>134160</v>
      </c>
      <c r="N98" s="169">
        <f ca="1">IFERROR(__xludf.DUMMYFUNCTION("IMPORTRANGE(""https://docs.google.com/spreadsheets/d/1Yj_ptqi66GCucihVvJfMjLAmec39IyEx_6qawtMGysU/edit?usp=sharing"",""สบก!AS59"")"),0)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IFERROR(__xludf.DUMMYFUNCTION("IMPORTRANGE(""https://docs.google.com/spreadsheets/d/1Yj_ptqi66GCucihVvJfMjLAmec39IyEx_6qawtMGysU/edit?usp=sharing"",""สบก!AN59"")"),0)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IFERROR(__xludf.DUMMYFUNCTION("IMPORTRANGE(""https://docs.google.com/spreadsheets/d/1Yj_ptqi66GCucihVvJfMjLAmec39IyEx_6qawtMGysU/edit?usp=sharing"",""สบก!AO59"")"),134160)</f>
        <v>134160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IFERROR(__xludf.DUMMYFUNCTION("IMPORTRANGE(""https://docs.google.com/spreadsheets/d/1Yj_ptqi66GCucihVvJfMjLAmec39IyEx_6qawtMGysU/edit?usp=sharing"",""สบก!AP59"")"),184800)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IFERROR(__xludf.DUMMYFUNCTION("IMPORTRANGE(""https://docs.google.com/spreadsheets/d/1Yj_ptqi66GCucihVvJfMjLAmec39IyEx_6qawtMGysU/edit?usp=sharing"",""สบก!AT59"")"),184800)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IFERROR(__xludf.DUMMYFUNCTION("IMPORTRANGE(""https://docs.google.com/spreadsheets/d/1SX6NBoVAgQJ6U1MVXOaj8PK2l7WJ3RER9xtqwdhxkhw/edit?usp=sharing"",""กาญจนบุรี!J39"")"),0)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IFERROR(__xludf.DUMMYFUNCTION("IMPORTRANGE(""https://docs.google.com/spreadsheets/d/1SX6NBoVAgQJ6U1MVXOaj8PK2l7WJ3RER9xtqwdhxkhw/edit?usp=sharing"",""กาญจนบุรี!J40"")"),1)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IFERROR(__xludf.DUMMYFUNCTION("IMPORTRANGE(""https://docs.google.com/spreadsheets/d/1SX6NBoVAgQJ6U1MVXOaj8PK2l7WJ3RER9xtqwdhxkhw/edit?usp=sharing"",""กาญจนบุรี!J41"")"),1)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IFERROR(__xludf.DUMMYFUNCTION("IMPORTRANGE(""https://docs.google.com/spreadsheets/d/1SX6NBoVAgQJ6U1MVXOaj8PK2l7WJ3RER9xtqwdhxkhw/edit?usp=sharing"",""กาญจนบุรี!J42"")"),1)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IFERROR(__xludf.DUMMYFUNCTION("IMPORTRANGE(""https://docs.google.com/spreadsheets/d/1SX6NBoVAgQJ6U1MVXOaj8PK2l7WJ3RER9xtqwdhxkhw/edit?usp=sharing"",""กาญจนบุรี!I43"")"),1)</f>
        <v>1</v>
      </c>
      <c r="J108" s="204">
        <f ca="1">IFERROR(__xludf.DUMMYFUNCTION("IMPORTRANGE(""https://docs.google.com/spreadsheets/d/1SX6NBoVAgQJ6U1MVXOaj8PK2l7WJ3RER9xtqwdhxkhw/edit?usp=sharing"",""กาญจนบุรี!J43"")"),1)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IFERROR(__xludf.DUMMYFUNCTION("IMPORTRANGE(""https://docs.google.com/spreadsheets/d/1SX6NBoVAgQJ6U1MVXOaj8PK2l7WJ3RER9xtqwdhxkhw/edit?usp=sharing"",""กาญจนบุรี!I44"")"),7)</f>
        <v>7</v>
      </c>
      <c r="J109" s="204">
        <f ca="1">IFERROR(__xludf.DUMMYFUNCTION("IMPORTRANGE(""https://docs.google.com/spreadsheets/d/1SX6NBoVAgQJ6U1MVXOaj8PK2l7WJ3RER9xtqwdhxkhw/edit?usp=sharing"",""กาญจนบุรี!J44"")"),0)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IFERROR(__xludf.DUMMYFUNCTION("IMPORTRANGE(""https://docs.google.com/spreadsheets/d/1SX6NBoVAgQJ6U1MVXOaj8PK2l7WJ3RER9xtqwdhxkhw/edit?usp=sharing"",""กาญจนบุรี!I45"")"),7)</f>
        <v>7</v>
      </c>
      <c r="J110" s="204">
        <f ca="1">IFERROR(__xludf.DUMMYFUNCTION("IMPORTRANGE(""https://docs.google.com/spreadsheets/d/1SX6NBoVAgQJ6U1MVXOaj8PK2l7WJ3RER9xtqwdhxkhw/edit?usp=sharing"",""กาญจนบุรี!J45"")"),7)</f>
        <v>7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IFERROR(__xludf.DUMMYFUNCTION("IMPORTRANGE(""https://docs.google.com/spreadsheets/d/1SX6NBoVAgQJ6U1MVXOaj8PK2l7WJ3RER9xtqwdhxkhw/edit?usp=sharing"",""กาญจนบุรี!I46"")"),7)</f>
        <v>7</v>
      </c>
      <c r="J111" s="204">
        <f ca="1">IFERROR(__xludf.DUMMYFUNCTION("IMPORTRANGE(""https://docs.google.com/spreadsheets/d/1SX6NBoVAgQJ6U1MVXOaj8PK2l7WJ3RER9xtqwdhxkhw/edit?usp=sharing"",""กาญจนบุรี!J46"")"),0)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IFERROR(__xludf.DUMMYFUNCTION("IMPORTRANGE(""https://docs.google.com/spreadsheets/d/1SX6NBoVAgQJ6U1MVXOaj8PK2l7WJ3RER9xtqwdhxkhw/edit?usp=sharing"",""กาญจนบุรี!I47"")"),7)</f>
        <v>7</v>
      </c>
      <c r="J112" s="204">
        <f ca="1">IFERROR(__xludf.DUMMYFUNCTION("IMPORTRANGE(""https://docs.google.com/spreadsheets/d/1SX6NBoVAgQJ6U1MVXOaj8PK2l7WJ3RER9xtqwdhxkhw/edit?usp=sharing"",""กาญจนบุรี!J47"")"),7)</f>
        <v>7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IFERROR(__xludf.DUMMYFUNCTION("IMPORTRANGE(""https://docs.google.com/spreadsheets/d/1SX6NBoVAgQJ6U1MVXOaj8PK2l7WJ3RER9xtqwdhxkhw/edit?usp=sharing"",""กาญจนบุรี!I48"")"),2)</f>
        <v>2</v>
      </c>
      <c r="J113" s="204">
        <f ca="1">IFERROR(__xludf.DUMMYFUNCTION("IMPORTRANGE(""https://docs.google.com/spreadsheets/d/1SX6NBoVAgQJ6U1MVXOaj8PK2l7WJ3RER9xtqwdhxkhw/edit?usp=sharing"",""กาญจนบุรี!J48"")"),0)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IFERROR(__xludf.DUMMYFUNCTION("IMPORTRANGE(""https://docs.google.com/spreadsheets/d/1SX6NBoVAgQJ6U1MVXOaj8PK2l7WJ3RER9xtqwdhxkhw/edit?usp=sharing"",""กาญจนบุรี!J49"")"),0)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IFERROR(__xludf.DUMMYFUNCTION("IMPORTRANGE(""https://docs.google.com/spreadsheets/d/1SX6NBoVAgQJ6U1MVXOaj8PK2l7WJ3RER9xtqwdhxkhw/edit?usp=sharing"",""กาญจนบุรี!J50"")"),0)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IFERROR(__xludf.DUMMYFUNCTION("IMPORTRANGE(""https://docs.google.com/spreadsheets/d/1SX6NBoVAgQJ6U1MVXOaj8PK2l7WJ3RER9xtqwdhxkhw/edit?usp=sharing"",""กาญจนบุรี!I52"")"),20)</f>
        <v>20</v>
      </c>
      <c r="J117" s="142">
        <f ca="1">IFERROR(__xludf.DUMMYFUNCTION("IMPORTRANGE(""https://docs.google.com/spreadsheets/d/1SX6NBoVAgQJ6U1MVXOaj8PK2l7WJ3RER9xtqwdhxkhw/edit?usp=sharing"",""กาญจนบุรี!J52"")"),20)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40040</v>
      </c>
      <c r="O118" s="151">
        <f t="shared" ref="O118:O120" ca="1" si="59">IF(L118&gt;0,N118*100/L118,0)</f>
        <v>48.568655992236778</v>
      </c>
      <c r="P118" s="151">
        <f t="shared" ref="P118:P120" ca="1" si="60">IF(M118&gt;0,N118*100/M118,0)</f>
        <v>48.568655992236778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40040</v>
      </c>
      <c r="O120" s="156">
        <f t="shared" ca="1" si="59"/>
        <v>48.568655992236778</v>
      </c>
      <c r="P120" s="156">
        <f t="shared" ca="1" si="60"/>
        <v>48.568655992236778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IFERROR(__xludf.DUMMYFUNCTION("IMPORTRANGE(""https://docs.google.com/spreadsheets/d/1Yj_ptqi66GCucihVvJfMjLAmec39IyEx_6qawtMGysU/edit?usp=sharing"",""สบก!BA59"")"),82440)</f>
        <v>82440</v>
      </c>
      <c r="N122" s="169">
        <f ca="1">IFERROR(__xludf.DUMMYFUNCTION("IMPORTRANGE(""https://docs.google.com/spreadsheets/d/1Yj_ptqi66GCucihVvJfMjLAmec39IyEx_6qawtMGysU/edit?usp=sharing"",""สบก!BB59"")"),40040)</f>
        <v>40040</v>
      </c>
      <c r="O122" s="169">
        <f ca="1">IF(L122&gt;0,N122*100/L122,0)</f>
        <v>48.568655992236778</v>
      </c>
      <c r="P122" s="169">
        <f ca="1">IF(M122&gt;0,N122*100/M122,0)</f>
        <v>48.568655992236778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IFERROR(__xludf.DUMMYFUNCTION("IMPORTRANGE(""https://docs.google.com/spreadsheets/d/1Yj_ptqi66GCucihVvJfMjLAmec39IyEx_6qawtMGysU/edit?usp=sharing"",""สบก!AW59"")"),0)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IFERROR(__xludf.DUMMYFUNCTION("IMPORTRANGE(""https://docs.google.com/spreadsheets/d/1Yj_ptqi66GCucihVvJfMjLAmec39IyEx_6qawtMGysU/edit?usp=sharing"",""สบก!AX59"")"),82440)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IFERROR(__xludf.DUMMYFUNCTION("IMPORTRANGE(""https://docs.google.com/spreadsheets/d/1Yj_ptqi66GCucihVvJfMjLAmec39IyEx_6qawtMGysU/edit?usp=sharing"",""สบก!AY59"")"),0)</f>
        <v>0</v>
      </c>
      <c r="M126" s="49"/>
      <c r="N126" s="49">
        <f ca="1">IFERROR(__xludf.DUMMYFUNCTION("IMPORTRANGE(""https://docs.google.com/spreadsheets/d/1Yj_ptqi66GCucihVvJfMjLAmec39IyEx_6qawtMGysU/edit?usp=sharing"",""สบก!BC59"")"),0)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239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IFERROR(__xludf.DUMMYFUNCTION("IMPORTRANGE(""https://docs.google.com/spreadsheets/d/1SX6NBoVAgQJ6U1MVXOaj8PK2l7WJ3RER9xtqwdhxkhw/edit?usp=sharing"",""กาญจนบุรี!J58"")"),0)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IFERROR(__xludf.DUMMYFUNCTION("IMPORTRANGE(""https://docs.google.com/spreadsheets/d/1SX6NBoVAgQJ6U1MVXOaj8PK2l7WJ3RER9xtqwdhxkhw/edit?usp=sharing"",""กาญจนบุรี!J59"")"),1)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IFERROR(__xludf.DUMMYFUNCTION("IMPORTRANGE(""https://docs.google.com/spreadsheets/d/1SX6NBoVAgQJ6U1MVXOaj8PK2l7WJ3RER9xtqwdhxkhw/edit?usp=sharing"",""กาญจนบุรี!J60"")"),1)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IFERROR(__xludf.DUMMYFUNCTION("IMPORTRANGE(""https://docs.google.com/spreadsheets/d/1SX6NBoVAgQJ6U1MVXOaj8PK2l7WJ3RER9xtqwdhxkhw/edit?usp=sharing"",""กาญจนบุรี!J61"")"),1)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IFERROR(__xludf.DUMMYFUNCTION("IMPORTRANGE(""https://docs.google.com/spreadsheets/d/1SX6NBoVAgQJ6U1MVXOaj8PK2l7WJ3RER9xtqwdhxkhw/edit?usp=sharing"",""กาญจนบุรี!I62"")"),20)</f>
        <v>20</v>
      </c>
      <c r="J132" s="204">
        <f ca="1">IFERROR(__xludf.DUMMYFUNCTION("IMPORTRANGE(""https://docs.google.com/spreadsheets/d/1SX6NBoVAgQJ6U1MVXOaj8PK2l7WJ3RER9xtqwdhxkhw/edit?usp=sharing"",""กาญจนบุรี!J62"")"),20)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IFERROR(__xludf.DUMMYFUNCTION("IMPORTRANGE(""https://docs.google.com/spreadsheets/d/1SX6NBoVAgQJ6U1MVXOaj8PK2l7WJ3RER9xtqwdhxkhw/edit?usp=sharing"",""กาญจนบุรี!I63"")"),20)</f>
        <v>20</v>
      </c>
      <c r="J133" s="204">
        <f ca="1">IFERROR(__xludf.DUMMYFUNCTION("IMPORTRANGE(""https://docs.google.com/spreadsheets/d/1SX6NBoVAgQJ6U1MVXOaj8PK2l7WJ3RER9xtqwdhxkhw/edit?usp=sharing"",""กาญจนบุรี!J63"")"),20)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IFERROR(__xludf.DUMMYFUNCTION("IMPORTRANGE(""https://docs.google.com/spreadsheets/d/1SX6NBoVAgQJ6U1MVXOaj8PK2l7WJ3RER9xtqwdhxkhw/edit?usp=sharing"",""กาญจนบุรี!J64"")"),0)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IFERROR(__xludf.DUMMYFUNCTION("IMPORTRANGE(""https://docs.google.com/spreadsheets/d/1SX6NBoVAgQJ6U1MVXOaj8PK2l7WJ3RER9xtqwdhxkhw/edit?usp=sharing"",""กาญจนบุรี!J65"")"),0)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IFERROR(__xludf.DUMMYFUNCTION("IMPORTRANGE(""https://docs.google.com/spreadsheets/d/1SX6NBoVAgQJ6U1MVXOaj8PK2l7WJ3RER9xtqwdhxkhw/edit?usp=sharing"",""กาญจนบุรี!I68"")"),30)</f>
        <v>30</v>
      </c>
      <c r="J138" s="267">
        <f ca="1">IFERROR(__xludf.DUMMYFUNCTION("IMPORTRANGE(""https://docs.google.com/spreadsheets/d/1SX6NBoVAgQJ6U1MVXOaj8PK2l7WJ3RER9xtqwdhxkhw/edit?usp=sharing"",""กาญจนบุรี!J68"")"),30)</f>
        <v>30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647600</v>
      </c>
      <c r="M140" s="152">
        <f t="shared" ca="1" si="64"/>
        <v>533525</v>
      </c>
      <c r="N140" s="152">
        <f t="shared" ca="1" si="64"/>
        <v>343035.48</v>
      </c>
      <c r="O140" s="151">
        <f t="shared" ref="O140:O142" ca="1" si="65">IF(L140&gt;0,N140*100/L140,0)</f>
        <v>52.970271772699199</v>
      </c>
      <c r="P140" s="151">
        <f t="shared" ref="P140:P142" ca="1" si="66">IF(M140&gt;0,N140*100/M140,0)</f>
        <v>64.296046108429778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647600</v>
      </c>
      <c r="M142" s="157">
        <f t="shared" ca="1" si="68"/>
        <v>533525</v>
      </c>
      <c r="N142" s="157">
        <f t="shared" ca="1" si="68"/>
        <v>343035.48</v>
      </c>
      <c r="O142" s="156">
        <f t="shared" ca="1" si="65"/>
        <v>52.970271772699199</v>
      </c>
      <c r="P142" s="156">
        <f t="shared" ca="1" si="66"/>
        <v>64.296046108429778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647600</v>
      </c>
      <c r="M144" s="168">
        <f ca="1">IFERROR(__xludf.DUMMYFUNCTION("IMPORTRANGE(""https://docs.google.com/spreadsheets/d/1Yj_ptqi66GCucihVvJfMjLAmec39IyEx_6qawtMGysU/edit?usp=sharing"",""สบก!BJ59"")"),533525)</f>
        <v>533525</v>
      </c>
      <c r="N144" s="169">
        <f ca="1">IFERROR(__xludf.DUMMYFUNCTION("IMPORTRANGE(""https://docs.google.com/spreadsheets/d/1Yj_ptqi66GCucihVvJfMjLAmec39IyEx_6qawtMGysU/edit?usp=sharing"",""สบก!BK59"")"),343035.48)</f>
        <v>343035.48</v>
      </c>
      <c r="O144" s="169">
        <f ca="1">IF(L144&gt;0,N144*100/L144,0)</f>
        <v>52.970271772699199</v>
      </c>
      <c r="P144" s="169">
        <f ca="1">IF(M144&gt;0,N144*100/M144,0)</f>
        <v>64.296046108429778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IFERROR(__xludf.DUMMYFUNCTION("IMPORTRANGE(""https://docs.google.com/spreadsheets/d/1Yj_ptqi66GCucihVvJfMjLAmec39IyEx_6qawtMGysU/edit?usp=sharing"",""สบก!BF59"")"),364700)</f>
        <v>364700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IFERROR(__xludf.DUMMYFUNCTION("IMPORTRANGE(""https://docs.google.com/spreadsheets/d/1Yj_ptqi66GCucihVvJfMjLAmec39IyEx_6qawtMGysU/edit?usp=sharing"",""สบก!BG59"")"),282900)</f>
        <v>282900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IFERROR(__xludf.DUMMYFUNCTION("IMPORTRANGE(""https://docs.google.com/spreadsheets/d/1Yj_ptqi66GCucihVvJfMjLAmec39IyEx_6qawtMGysU/edit?usp=sharing"",""สบก!BH59"")"),0)</f>
        <v>0</v>
      </c>
      <c r="M148" s="49"/>
      <c r="N148" s="49">
        <f ca="1">IFERROR(__xludf.DUMMYFUNCTION("IMPORTRANGE(""https://docs.google.com/spreadsheets/d/1Yj_ptqi66GCucihVvJfMjLAmec39IyEx_6qawtMGysU/edit?usp=sharing"",""สบก!BL59"")"),0)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IFERROR(__xludf.DUMMYFUNCTION("IMPORTRANGE(""https://docs.google.com/spreadsheets/d/1SX6NBoVAgQJ6U1MVXOaj8PK2l7WJ3RER9xtqwdhxkhw/edit?usp=sharing"",""กาญจนบุรี!I74"")"),4)</f>
        <v>4</v>
      </c>
      <c r="J149" s="275">
        <f ca="1">IFERROR(__xludf.DUMMYFUNCTION("IMPORTRANGE(""https://docs.google.com/spreadsheets/d/1SX6NBoVAgQJ6U1MVXOaj8PK2l7WJ3RER9xtqwdhxkhw/edit?usp=sharing"",""กาญจนบุรี!J74"")"),2)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IFERROR(__xludf.DUMMYFUNCTION("IMPORTRANGE(""https://docs.google.com/spreadsheets/d/1SX6NBoVAgQJ6U1MVXOaj8PK2l7WJ3RER9xtqwdhxkhw/edit?usp=sharing"",""กาญจนบุรี!J79"")"),0)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IFERROR(__xludf.DUMMYFUNCTION("IMPORTRANGE(""https://docs.google.com/spreadsheets/d/1SX6NBoVAgQJ6U1MVXOaj8PK2l7WJ3RER9xtqwdhxkhw/edit?usp=sharing"",""กาญจนบุรี!J80"")"),1)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IFERROR(__xludf.DUMMYFUNCTION("IMPORTRANGE(""https://docs.google.com/spreadsheets/d/1SX6NBoVAgQJ6U1MVXOaj8PK2l7WJ3RER9xtqwdhxkhw/edit?usp=sharing"",""กาญจนบุรี!J81"")"),1)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IFERROR(__xludf.DUMMYFUNCTION("IMPORTRANGE(""https://docs.google.com/spreadsheets/d/1SX6NBoVAgQJ6U1MVXOaj8PK2l7WJ3RER9xtqwdhxkhw/edit?usp=sharing"",""กาญจนบุรี!J82"")"),1)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IFERROR(__xludf.DUMMYFUNCTION("IMPORTRANGE(""https://docs.google.com/spreadsheets/d/1SX6NBoVAgQJ6U1MVXOaj8PK2l7WJ3RER9xtqwdhxkhw/edit?usp=sharing"",""กาญจนบุรี!I83"")"),4)</f>
        <v>4</v>
      </c>
      <c r="J158" s="189">
        <f ca="1">IFERROR(__xludf.DUMMYFUNCTION("IMPORTRANGE(""https://docs.google.com/spreadsheets/d/1SX6NBoVAgQJ6U1MVXOaj8PK2l7WJ3RER9xtqwdhxkhw/edit?usp=sharing"",""กาญจนบุรี!J83"")"),2)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IFERROR(__xludf.DUMMYFUNCTION("IMPORTRANGE(""https://docs.google.com/spreadsheets/d/1SX6NBoVAgQJ6U1MVXOaj8PK2l7WJ3RER9xtqwdhxkhw/edit?usp=sharing"",""กาญจนบุรี!J84"")"),40)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IFERROR(__xludf.DUMMYFUNCTION("IMPORTRANGE(""https://docs.google.com/spreadsheets/d/1SX6NBoVAgQJ6U1MVXOaj8PK2l7WJ3RER9xtqwdhxkhw/edit?usp=sharing"",""กาญจนบุรี!J85"")"),40)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IFERROR(__xludf.DUMMYFUNCTION("IMPORTRANGE(""https://docs.google.com/spreadsheets/d/1SX6NBoVAgQJ6U1MVXOaj8PK2l7WJ3RER9xtqwdhxkhw/edit?usp=sharing"",""กาญจนบุรี!J86"")"),0)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IFERROR(__xludf.DUMMYFUNCTION("IMPORTRANGE(""https://docs.google.com/spreadsheets/d/1SX6NBoVAgQJ6U1MVXOaj8PK2l7WJ3RER9xtqwdhxkhw/edit?usp=sharing"",""กาญจนบุรี!J87"")"),0)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IFERROR(__xludf.DUMMYFUNCTION("IMPORTRANGE(""https://docs.google.com/spreadsheets/d/1SX6NBoVAgQJ6U1MVXOaj8PK2l7WJ3RER9xtqwdhxkhw/edit?usp=sharing"",""กาญจนบุรี!J88"")"),0)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IFERROR(__xludf.DUMMYFUNCTION("IMPORTRANGE(""https://docs.google.com/spreadsheets/d/1SX6NBoVAgQJ6U1MVXOaj8PK2l7WJ3RER9xtqwdhxkhw/edit?usp=sharing"",""กาญจนบุรี!I89"")"),4)</f>
        <v>4</v>
      </c>
      <c r="J164" s="284">
        <f ca="1">IFERROR(__xludf.DUMMYFUNCTION("IMPORTRANGE(""https://docs.google.com/spreadsheets/d/1SX6NBoVAgQJ6U1MVXOaj8PK2l7WJ3RER9xtqwdhxkhw/edit?usp=sharing"",""กาญจนบุรี!J89"")"),4)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IFERROR(__xludf.DUMMYFUNCTION("IMPORTRANGE(""https://docs.google.com/spreadsheets/d/1SX6NBoVAgQJ6U1MVXOaj8PK2l7WJ3RER9xtqwdhxkhw/edit?usp=sharing"",""กาญจนบุรี!J94"")"),0)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IFERROR(__xludf.DUMMYFUNCTION("IMPORTRANGE(""https://docs.google.com/spreadsheets/d/1SX6NBoVAgQJ6U1MVXOaj8PK2l7WJ3RER9xtqwdhxkhw/edit?usp=sharing"",""กาญจนบุรี!J95"")"),1)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IFERROR(__xludf.DUMMYFUNCTION("IMPORTRANGE(""https://docs.google.com/spreadsheets/d/1SX6NBoVAgQJ6U1MVXOaj8PK2l7WJ3RER9xtqwdhxkhw/edit?usp=sharing"",""กาญจนบุรี!J96"")"),1)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IFERROR(__xludf.DUMMYFUNCTION("IMPORTRANGE(""https://docs.google.com/spreadsheets/d/1SX6NBoVAgQJ6U1MVXOaj8PK2l7WJ3RER9xtqwdhxkhw/edit?usp=sharing"",""กาญจนบุรี!J97"")"),1)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IFERROR(__xludf.DUMMYFUNCTION("IMPORTRANGE(""https://docs.google.com/spreadsheets/d/1SX6NBoVAgQJ6U1MVXOaj8PK2l7WJ3RER9xtqwdhxkhw/edit?usp=sharing"",""กาญจนบุรี!I98"")"),4)</f>
        <v>4</v>
      </c>
      <c r="J173" s="189">
        <f ca="1">IFERROR(__xludf.DUMMYFUNCTION("IMPORTRANGE(""https://docs.google.com/spreadsheets/d/1SX6NBoVAgQJ6U1MVXOaj8PK2l7WJ3RER9xtqwdhxkhw/edit?usp=sharing"",""กาญจนบุรี!J98"")"),4)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IFERROR(__xludf.DUMMYFUNCTION("IMPORTRANGE(""https://docs.google.com/spreadsheets/d/1SX6NBoVAgQJ6U1MVXOaj8PK2l7WJ3RER9xtqwdhxkhw/edit?usp=sharing"",""กาญจนบุรี!J99"")"),0)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IFERROR(__xludf.DUMMYFUNCTION("IMPORTRANGE(""https://docs.google.com/spreadsheets/d/1SX6NBoVAgQJ6U1MVXOaj8PK2l7WJ3RER9xtqwdhxkhw/edit?usp=sharing"",""กาญจนบุรี!J100"")"),0)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IFERROR(__xludf.DUMMYFUNCTION("IMPORTRANGE(""https://docs.google.com/spreadsheets/d/1SX6NBoVAgQJ6U1MVXOaj8PK2l7WJ3RER9xtqwdhxkhw/edit?usp=sharing"",""กาญจนบุรี!I101"")"),6)</f>
        <v>6</v>
      </c>
      <c r="J176" s="284">
        <f ca="1">IFERROR(__xludf.DUMMYFUNCTION("IMPORTRANGE(""https://docs.google.com/spreadsheets/d/1SX6NBoVAgQJ6U1MVXOaj8PK2l7WJ3RER9xtqwdhxkhw/edit?usp=sharing"",""กาญจนบุรี!J101"")"),6)</f>
        <v>6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IFERROR(__xludf.DUMMYFUNCTION("IMPORTRANGE(""https://docs.google.com/spreadsheets/d/1SX6NBoVAgQJ6U1MVXOaj8PK2l7WJ3RER9xtqwdhxkhw/edit?usp=sharing"",""กาญจนบุรี!J106"")"),0)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IFERROR(__xludf.DUMMYFUNCTION("IMPORTRANGE(""https://docs.google.com/spreadsheets/d/1SX6NBoVAgQJ6U1MVXOaj8PK2l7WJ3RER9xtqwdhxkhw/edit?usp=sharing"",""กาญจนบุรี!J107"")"),1)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IFERROR(__xludf.DUMMYFUNCTION("IMPORTRANGE(""https://docs.google.com/spreadsheets/d/1SX6NBoVAgQJ6U1MVXOaj8PK2l7WJ3RER9xtqwdhxkhw/edit?usp=sharing"",""กาญจนบุรี!J108"")"),1)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IFERROR(__xludf.DUMMYFUNCTION("IMPORTRANGE(""https://docs.google.com/spreadsheets/d/1SX6NBoVAgQJ6U1MVXOaj8PK2l7WJ3RER9xtqwdhxkhw/edit?usp=sharing"",""กาญจนบุรี!J109"")"),1)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IFERROR(__xludf.DUMMYFUNCTION("IMPORTRANGE(""https://docs.google.com/spreadsheets/d/1SX6NBoVAgQJ6U1MVXOaj8PK2l7WJ3RER9xtqwdhxkhw/edit?usp=sharing"",""กาญจนบุรี!I110"")"),6)</f>
        <v>6</v>
      </c>
      <c r="J185" s="204">
        <f ca="1">IFERROR(__xludf.DUMMYFUNCTION("IMPORTRANGE(""https://docs.google.com/spreadsheets/d/1SX6NBoVAgQJ6U1MVXOaj8PK2l7WJ3RER9xtqwdhxkhw/edit?usp=sharing"",""กาญจนบุรี!J110"")"),0)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IFERROR(__xludf.DUMMYFUNCTION("IMPORTRANGE(""https://docs.google.com/spreadsheets/d/1SX6NBoVAgQJ6U1MVXOaj8PK2l7WJ3RER9xtqwdhxkhw/edit?usp=sharing"",""กาญจนบุรี!I111"")"),6)</f>
        <v>6</v>
      </c>
      <c r="J186" s="204">
        <f ca="1">IFERROR(__xludf.DUMMYFUNCTION("IMPORTRANGE(""https://docs.google.com/spreadsheets/d/1SX6NBoVAgQJ6U1MVXOaj8PK2l7WJ3RER9xtqwdhxkhw/edit?usp=sharing"",""กาญจนบุรี!J111"")"),6)</f>
        <v>6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IFERROR(__xludf.DUMMYFUNCTION("IMPORTRANGE(""https://docs.google.com/spreadsheets/d/1SX6NBoVAgQJ6U1MVXOaj8PK2l7WJ3RER9xtqwdhxkhw/edit?usp=sharing"",""กาญจนบุรี!J112"")"),0)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IFERROR(__xludf.DUMMYFUNCTION("IMPORTRANGE(""https://docs.google.com/spreadsheets/d/1SX6NBoVAgQJ6U1MVXOaj8PK2l7WJ3RER9xtqwdhxkhw/edit?usp=sharing"",""กาญจนบุรี!J113"")"),0)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IFERROR(__xludf.DUMMYFUNCTION("IMPORTRANGE(""https://docs.google.com/spreadsheets/d/1SX6NBoVAgQJ6U1MVXOaj8PK2l7WJ3RER9xtqwdhxkhw/edit?usp=sharing"",""กาญจนบุรี!I114"")"),20000)</f>
        <v>20000</v>
      </c>
      <c r="J189" s="284">
        <f ca="1">IFERROR(__xludf.DUMMYFUNCTION("IMPORTRANGE(""https://docs.google.com/spreadsheets/d/1SX6NBoVAgQJ6U1MVXOaj8PK2l7WJ3RER9xtqwdhxkhw/edit?usp=sharing"",""กาญจนบุรี!J114"")"),0)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IFERROR(__xludf.DUMMYFUNCTION("IMPORTRANGE(""https://docs.google.com/spreadsheets/d/1SX6NBoVAgQJ6U1MVXOaj8PK2l7WJ3RER9xtqwdhxkhw/edit?usp=sharing"",""กาญจนบุรี!J119"")"),0)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IFERROR(__xludf.DUMMYFUNCTION("IMPORTRANGE(""https://docs.google.com/spreadsheets/d/1SX6NBoVAgQJ6U1MVXOaj8PK2l7WJ3RER9xtqwdhxkhw/edit?usp=sharing"",""กาญจนบุรี!J120"")"),1)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IFERROR(__xludf.DUMMYFUNCTION("IMPORTRANGE(""https://docs.google.com/spreadsheets/d/1SX6NBoVAgQJ6U1MVXOaj8PK2l7WJ3RER9xtqwdhxkhw/edit?usp=sharing"",""กาญจนบุรี!J121"")"),1)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IFERROR(__xludf.DUMMYFUNCTION("IMPORTRANGE(""https://docs.google.com/spreadsheets/d/1SX6NBoVAgQJ6U1MVXOaj8PK2l7WJ3RER9xtqwdhxkhw/edit?usp=sharing"",""กาญจนบุรี!J122"")"),1)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IFERROR(__xludf.DUMMYFUNCTION("IMPORTRANGE(""https://docs.google.com/spreadsheets/d/1SX6NBoVAgQJ6U1MVXOaj8PK2l7WJ3RER9xtqwdhxkhw/edit?usp=sharing"",""กาญจนบุรี!I124"")"),20000)</f>
        <v>20000</v>
      </c>
      <c r="J199" s="189">
        <f ca="1">IFERROR(__xludf.DUMMYFUNCTION("IMPORTRANGE(""https://docs.google.com/spreadsheets/d/1SX6NBoVAgQJ6U1MVXOaj8PK2l7WJ3RER9xtqwdhxkhw/edit?usp=sharing"",""กาญจนบุรี!J124"")"),0)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IFERROR(__xludf.DUMMYFUNCTION("IMPORTRANGE(""https://docs.google.com/spreadsheets/d/1SX6NBoVAgQJ6U1MVXOaj8PK2l7WJ3RER9xtqwdhxkhw/edit?usp=sharing"",""กาญจนบุรี!I125"")"),20000)</f>
        <v>20000</v>
      </c>
      <c r="J200" s="189">
        <f ca="1">IFERROR(__xludf.DUMMYFUNCTION("IMPORTRANGE(""https://docs.google.com/spreadsheets/d/1SX6NBoVAgQJ6U1MVXOaj8PK2l7WJ3RER9xtqwdhxkhw/edit?usp=sharing"",""กาญจนบุรี!J125"")"),0)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IFERROR(__xludf.DUMMYFUNCTION("IMPORTRANGE(""https://docs.google.com/spreadsheets/d/1SX6NBoVAgQJ6U1MVXOaj8PK2l7WJ3RER9xtqwdhxkhw/edit?usp=sharing"",""กาญจนบุรี!I126"")"),0)</f>
        <v>0</v>
      </c>
      <c r="J201" s="189">
        <f ca="1">IFERROR(__xludf.DUMMYFUNCTION("IMPORTRANGE(""https://docs.google.com/spreadsheets/d/1SX6NBoVAgQJ6U1MVXOaj8PK2l7WJ3RER9xtqwdhxkhw/edit?usp=sharing"",""กาญจนบุรี!J126"")"),0)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IFERROR(__xludf.DUMMYFUNCTION("IMPORTRANGE(""https://docs.google.com/spreadsheets/d/1SX6NBoVAgQJ6U1MVXOaj8PK2l7WJ3RER9xtqwdhxkhw/edit?usp=sharing"",""กาญจนบุรี!J127"")"),0)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IFERROR(__xludf.DUMMYFUNCTION("IMPORTRANGE(""https://docs.google.com/spreadsheets/d/1SX6NBoVAgQJ6U1MVXOaj8PK2l7WJ3RER9xtqwdhxkhw/edit?usp=sharing"",""กาญจนบุรี!J128"")"),0)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IFERROR(__xludf.DUMMYFUNCTION("IMPORTRANGE(""https://docs.google.com/spreadsheets/d/1SX6NBoVAgQJ6U1MVXOaj8PK2l7WJ3RER9xtqwdhxkhw/edit?usp=sharing"",""กาญจนบุรี!I129"")"),30)</f>
        <v>30</v>
      </c>
      <c r="J204" s="284">
        <f ca="1">IFERROR(__xludf.DUMMYFUNCTION("IMPORTRANGE(""https://docs.google.com/spreadsheets/d/1SX6NBoVAgQJ6U1MVXOaj8PK2l7WJ3RER9xtqwdhxkhw/edit?usp=sharing"",""กาญจนบุรี!J129"")"),30)</f>
        <v>30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IFERROR(__xludf.DUMMYFUNCTION("IMPORTRANGE(""https://docs.google.com/spreadsheets/d/1SX6NBoVAgQJ6U1MVXOaj8PK2l7WJ3RER9xtqwdhxkhw/edit?usp=sharing"",""กาญจนบุรี!J134"")"),0)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IFERROR(__xludf.DUMMYFUNCTION("IMPORTRANGE(""https://docs.google.com/spreadsheets/d/1SX6NBoVAgQJ6U1MVXOaj8PK2l7WJ3RER9xtqwdhxkhw/edit?usp=sharing"",""กาญจนบุรี!J135"")"),1)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IFERROR(__xludf.DUMMYFUNCTION("IMPORTRANGE(""https://docs.google.com/spreadsheets/d/1SX6NBoVAgQJ6U1MVXOaj8PK2l7WJ3RER9xtqwdhxkhw/edit?usp=sharing"",""กาญจนบุรี!J136"")"),1)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IFERROR(__xludf.DUMMYFUNCTION("IMPORTRANGE(""https://docs.google.com/spreadsheets/d/1SX6NBoVAgQJ6U1MVXOaj8PK2l7WJ3RER9xtqwdhxkhw/edit?usp=sharing"",""กาญจนบุรี!J137"")"),1)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IFERROR(__xludf.DUMMYFUNCTION("IMPORTRANGE(""https://docs.google.com/spreadsheets/d/1SX6NBoVAgQJ6U1MVXOaj8PK2l7WJ3RER9xtqwdhxkhw/edit?usp=sharing"",""กาญจนบุรี!I138"")"),30)</f>
        <v>30</v>
      </c>
      <c r="J213" s="204">
        <f ca="1">IFERROR(__xludf.DUMMYFUNCTION("IMPORTRANGE(""https://docs.google.com/spreadsheets/d/1SX6NBoVAgQJ6U1MVXOaj8PK2l7WJ3RER9xtqwdhxkhw/edit?usp=sharing"",""กาญจนบุรี!J138"")"),30)</f>
        <v>30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IFERROR(__xludf.DUMMYFUNCTION("IMPORTRANGE(""https://docs.google.com/spreadsheets/d/1SX6NBoVAgQJ6U1MVXOaj8PK2l7WJ3RER9xtqwdhxkhw/edit?usp=sharing"",""กาญจนบุรี!I140"")"),0)</f>
        <v>0</v>
      </c>
      <c r="J215" s="204">
        <f ca="1">IFERROR(__xludf.DUMMYFUNCTION("IMPORTRANGE(""https://docs.google.com/spreadsheets/d/1SX6NBoVAgQJ6U1MVXOaj8PK2l7WJ3RER9xtqwdhxkhw/edit?usp=sharing"",""กาญจนบุรี!J140"")"),0)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IFERROR(__xludf.DUMMYFUNCTION("IMPORTRANGE(""https://docs.google.com/spreadsheets/d/1SX6NBoVAgQJ6U1MVXOaj8PK2l7WJ3RER9xtqwdhxkhw/edit?usp=sharing"",""กาญจนบุรี!I141"")"),1)</f>
        <v>1</v>
      </c>
      <c r="J216" s="204">
        <f ca="1">IFERROR(__xludf.DUMMYFUNCTION("IMPORTRANGE(""https://docs.google.com/spreadsheets/d/1SX6NBoVAgQJ6U1MVXOaj8PK2l7WJ3RER9xtqwdhxkhw/edit?usp=sharing"",""กาญจนบุรี!J141"")"),0)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IFERROR(__xludf.DUMMYFUNCTION("IMPORTRANGE(""https://docs.google.com/spreadsheets/d/1SX6NBoVAgQJ6U1MVXOaj8PK2l7WJ3RER9xtqwdhxkhw/edit?usp=sharing"",""กาญจนบุรี!J142"")"),0)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IFERROR(__xludf.DUMMYFUNCTION("IMPORTRANGE(""https://docs.google.com/spreadsheets/d/1SX6NBoVAgQJ6U1MVXOaj8PK2l7WJ3RER9xtqwdhxkhw/edit?usp=sharing"",""กาญจนบุรี!J143"")"),0)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IFERROR(__xludf.DUMMYFUNCTION("IMPORTRANGE(""https://docs.google.com/spreadsheets/d/1SX6NBoVAgQJ6U1MVXOaj8PK2l7WJ3RER9xtqwdhxkhw/edit?usp=sharing"",""กาญจนบุรี!I144"")"),14)</f>
        <v>14</v>
      </c>
      <c r="J219" s="267">
        <f ca="1">IFERROR(__xludf.DUMMYFUNCTION("IMPORTRANGE(""https://docs.google.com/spreadsheets/d/1SX6NBoVAgQJ6U1MVXOaj8PK2l7WJ3RER9xtqwdhxkhw/edit?usp=sharing"",""กาญจนบุรี!J144"")"),14)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IFERROR(__xludf.DUMMYFUNCTION("IMPORTRANGE(""https://docs.google.com/spreadsheets/d/1Yj_ptqi66GCucihVvJfMjLAmec39IyEx_6qawtMGysU/edit?usp=sharing"",""สบก!BS59"")"),20210)</f>
        <v>20210</v>
      </c>
      <c r="N224" s="169">
        <f ca="1">IFERROR(__xludf.DUMMYFUNCTION("IMPORTRANGE(""https://docs.google.com/spreadsheets/d/1Yj_ptqi66GCucihVvJfMjLAmec39IyEx_6qawtMGysU/edit?usp=sharing"",""สบก!BT59"")"),20210)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IFERROR(__xludf.DUMMYFUNCTION("IMPORTRANGE(""https://docs.google.com/spreadsheets/d/1Yj_ptqi66GCucihVvJfMjLAmec39IyEx_6qawtMGysU/edit?usp=sharing"",""สบก!BO59"")"),0)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IFERROR(__xludf.DUMMYFUNCTION("IMPORTRANGE(""https://docs.google.com/spreadsheets/d/1Yj_ptqi66GCucihVvJfMjLAmec39IyEx_6qawtMGysU/edit?usp=sharing"",""สบก!BP59"")"),20210)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IFERROR(__xludf.DUMMYFUNCTION("IMPORTRANGE(""https://docs.google.com/spreadsheets/d/1Yj_ptqi66GCucihVvJfMjLAmec39IyEx_6qawtMGysU/edit?usp=sharing"",""สบก!BQ59"")"),0)</f>
        <v>0</v>
      </c>
      <c r="M228" s="49"/>
      <c r="N228" s="49">
        <f ca="1">IFERROR(__xludf.DUMMYFUNCTION("IMPORTRANGE(""https://docs.google.com/spreadsheets/d/1Yj_ptqi66GCucihVvJfMjLAmec39IyEx_6qawtMGysU/edit?usp=sharing"",""สบก!BU59"")"),0)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IFERROR(__xludf.DUMMYFUNCTION("IMPORTRANGE(""https://docs.google.com/spreadsheets/d/1SX6NBoVAgQJ6U1MVXOaj8PK2l7WJ3RER9xtqwdhxkhw/edit?usp=sharing"",""กาญจนบุรี!I149"")"),14)</f>
        <v>14</v>
      </c>
      <c r="J229" s="267">
        <f ca="1">IFERROR(__xludf.DUMMYFUNCTION("IMPORTRANGE(""https://docs.google.com/spreadsheets/d/1SX6NBoVAgQJ6U1MVXOaj8PK2l7WJ3RER9xtqwdhxkhw/edit?usp=sharing"",""กาญจนบุรี!J149"")"),14)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IFERROR(__xludf.DUMMYFUNCTION("IMPORTRANGE(""https://docs.google.com/spreadsheets/d/1SX6NBoVAgQJ6U1MVXOaj8PK2l7WJ3RER9xtqwdhxkhw/edit?usp=sharing"",""กาญจนบุรี!J151"")"),0)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IFERROR(__xludf.DUMMYFUNCTION("IMPORTRANGE(""https://docs.google.com/spreadsheets/d/1SX6NBoVAgQJ6U1MVXOaj8PK2l7WJ3RER9xtqwdhxkhw/edit?usp=sharing"",""กาญจนบุรี!J152"")"),1)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IFERROR(__xludf.DUMMYFUNCTION("IMPORTRANGE(""https://docs.google.com/spreadsheets/d/1SX6NBoVAgQJ6U1MVXOaj8PK2l7WJ3RER9xtqwdhxkhw/edit?usp=sharing"",""กาญจนบุรี!J153"")"),1)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IFERROR(__xludf.DUMMYFUNCTION("IMPORTRANGE(""https://docs.google.com/spreadsheets/d/1SX6NBoVAgQJ6U1MVXOaj8PK2l7WJ3RER9xtqwdhxkhw/edit?usp=sharing"",""กาญจนบุรี!J154"")"),1)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IFERROR(__xludf.DUMMYFUNCTION("IMPORTRANGE(""https://docs.google.com/spreadsheets/d/1SX6NBoVAgQJ6U1MVXOaj8PK2l7WJ3RER9xtqwdhxkhw/edit?usp=sharing"",""กาญจนบุรี!I155"")"),14)</f>
        <v>14</v>
      </c>
      <c r="J235" s="189">
        <f ca="1">IFERROR(__xludf.DUMMYFUNCTION("IMPORTRANGE(""https://docs.google.com/spreadsheets/d/1SX6NBoVAgQJ6U1MVXOaj8PK2l7WJ3RER9xtqwdhxkhw/edit?usp=sharing"",""กาญจนบุรี!J155"")"),14)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IFERROR(__xludf.DUMMYFUNCTION("IMPORTRANGE(""https://docs.google.com/spreadsheets/d/1SX6NBoVAgQJ6U1MVXOaj8PK2l7WJ3RER9xtqwdhxkhw/edit?usp=sharing"",""กาญจนบุรี!J156"")"),0)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IFERROR(__xludf.DUMMYFUNCTION("IMPORTRANGE(""https://docs.google.com/spreadsheets/d/1SX6NBoVAgQJ6U1MVXOaj8PK2l7WJ3RER9xtqwdhxkhw/edit?usp=sharing"",""กาญจนบุรี!J157"")"),0)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IFERROR(__xludf.DUMMYFUNCTION("IMPORTRANGE(""https://docs.google.com/spreadsheets/d/1SX6NBoVAgQJ6U1MVXOaj8PK2l7WJ3RER9xtqwdhxkhw/edit?usp=sharing"",""กาญจนบุรี!I158"")"),0)</f>
        <v>0</v>
      </c>
      <c r="J238" s="267">
        <f ca="1">IFERROR(__xludf.DUMMYFUNCTION("IMPORTRANGE(""https://docs.google.com/spreadsheets/d/1SX6NBoVAgQJ6U1MVXOaj8PK2l7WJ3RER9xtqwdhxkhw/edit?usp=sharing"",""กาญจนบุรี!J158"")"),0)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IFERROR(__xludf.DUMMYFUNCTION("IMPORTRANGE(""https://docs.google.com/spreadsheets/d/1SX6NBoVAgQJ6U1MVXOaj8PK2l7WJ3RER9xtqwdhxkhw/edit?usp=sharing"",""กาญจนบุรี!J161"")"),0)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IFERROR(__xludf.DUMMYFUNCTION("IMPORTRANGE(""https://docs.google.com/spreadsheets/d/1SX6NBoVAgQJ6U1MVXOaj8PK2l7WJ3RER9xtqwdhxkhw/edit?usp=sharing"",""กาญจนบุรี!J162"")"),0)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IFERROR(__xludf.DUMMYFUNCTION("IMPORTRANGE(""https://docs.google.com/spreadsheets/d/1SX6NBoVAgQJ6U1MVXOaj8PK2l7WJ3RER9xtqwdhxkhw/edit?usp=sharing"",""กาญจนบุรี!J163"")"),0)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IFERROR(__xludf.DUMMYFUNCTION("IMPORTRANGE(""https://docs.google.com/spreadsheets/d/1SX6NBoVAgQJ6U1MVXOaj8PK2l7WJ3RER9xtqwdhxkhw/edit?usp=sharing"",""กาญจนบุรี!I164"")"),0)</f>
        <v>0</v>
      </c>
      <c r="J244" s="188">
        <f ca="1">IFERROR(__xludf.DUMMYFUNCTION("IMPORTRANGE(""https://docs.google.com/spreadsheets/d/1SX6NBoVAgQJ6U1MVXOaj8PK2l7WJ3RER9xtqwdhxkhw/edit?usp=sharing"",""กาญจนบุรี!J164"")"),0)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IFERROR(__xludf.DUMMYFUNCTION("IMPORTRANGE(""https://docs.google.com/spreadsheets/d/1SX6NBoVAgQJ6U1MVXOaj8PK2l7WJ3RER9xtqwdhxkhw/edit?usp=sharing"",""กาญจนบุรี!J165"")"),0)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IFERROR(__xludf.DUMMYFUNCTION("IMPORTRANGE(""https://docs.google.com/spreadsheets/d/1SX6NBoVAgQJ6U1MVXOaj8PK2l7WJ3RER9xtqwdhxkhw/edit?usp=sharing"",""กาญจนบุรี!J166"")"),0)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IFERROR(__xludf.DUMMYFUNCTION("IMPORTRANGE(""https://docs.google.com/spreadsheets/d/1SX6NBoVAgQJ6U1MVXOaj8PK2l7WJ3RER9xtqwdhxkhw/edit?usp=sharing"",""กาญจนบุรี!I169"")"),20)</f>
        <v>20</v>
      </c>
      <c r="J249" s="316">
        <f ca="1">IFERROR(__xludf.DUMMYFUNCTION("IMPORTRANGE(""https://docs.google.com/spreadsheets/d/1SX6NBoVAgQJ6U1MVXOaj8PK2l7WJ3RER9xtqwdhxkhw/edit?usp=sharing"",""กาญจนบุรี!J169"")"),20)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33500</v>
      </c>
      <c r="O250" s="151">
        <f t="shared" ref="O250:O252" ca="1" si="78">IF(L250&gt;0,N250*100/L250,0)</f>
        <v>46.918767507002798</v>
      </c>
      <c r="P250" s="151">
        <f t="shared" ref="P250:P252" ca="1" si="79">IF(M250&gt;0,N250*100/M250,0)</f>
        <v>79.761904761904759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33500</v>
      </c>
      <c r="O252" s="156">
        <f t="shared" ca="1" si="78"/>
        <v>46.918767507002798</v>
      </c>
      <c r="P252" s="156">
        <f t="shared" ca="1" si="79"/>
        <v>79.761904761904759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IFERROR(__xludf.DUMMYFUNCTION("IMPORTRANGE(""https://docs.google.com/spreadsheets/d/1Yj_ptqi66GCucihVvJfMjLAmec39IyEx_6qawtMGysU/edit?usp=sharing"",""สบก!CB59"")"),42000)</f>
        <v>42000</v>
      </c>
      <c r="N254" s="169">
        <f ca="1">IFERROR(__xludf.DUMMYFUNCTION("IMPORTRANGE(""https://docs.google.com/spreadsheets/d/1Yj_ptqi66GCucihVvJfMjLAmec39IyEx_6qawtMGysU/edit?usp=sharing"",""สบก!CC59"")"),33500)</f>
        <v>33500</v>
      </c>
      <c r="O254" s="169">
        <f ca="1">IF(L254&gt;0,N254*100/L254,0)</f>
        <v>46.918767507002798</v>
      </c>
      <c r="P254" s="169">
        <f ca="1">IF(M254&gt;0,N254*100/M254,0)</f>
        <v>79.761904761904759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IFERROR(__xludf.DUMMYFUNCTION("IMPORTRANGE(""https://docs.google.com/spreadsheets/d/1Yj_ptqi66GCucihVvJfMjLAmec39IyEx_6qawtMGysU/edit?usp=sharing"",""สบก!BX59"")"),0)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IFERROR(__xludf.DUMMYFUNCTION("IMPORTRANGE(""https://docs.google.com/spreadsheets/d/1Yj_ptqi66GCucihVvJfMjLAmec39IyEx_6qawtMGysU/edit?usp=sharing"",""สบก!BY59"")"),71400)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IFERROR(__xludf.DUMMYFUNCTION("IMPORTRANGE(""https://docs.google.com/spreadsheets/d/1Yj_ptqi66GCucihVvJfMjLAmec39IyEx_6qawtMGysU/edit?usp=sharing"",""สบก!BZ59"")"),0)</f>
        <v>0</v>
      </c>
      <c r="M258" s="49"/>
      <c r="N258" s="49">
        <f ca="1">IFERROR(__xludf.DUMMYFUNCTION("IMPORTRANGE(""https://docs.google.com/spreadsheets/d/1Yj_ptqi66GCucihVvJfMjLAmec39IyEx_6qawtMGysU/edit?usp=sharing"",""สบก!CD59"")"),0)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IFERROR(__xludf.DUMMYFUNCTION("IMPORTRANGE(""https://docs.google.com/spreadsheets/d/1SX6NBoVAgQJ6U1MVXOaj8PK2l7WJ3RER9xtqwdhxkhw/edit?usp=sharing"",""กาญจนบุรี!J175"")"),0)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IFERROR(__xludf.DUMMYFUNCTION("IMPORTRANGE(""https://docs.google.com/spreadsheets/d/1SX6NBoVAgQJ6U1MVXOaj8PK2l7WJ3RER9xtqwdhxkhw/edit?usp=sharing"",""กาญจนบุรี!J176"")"),1)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IFERROR(__xludf.DUMMYFUNCTION("IMPORTRANGE(""https://docs.google.com/spreadsheets/d/1SX6NBoVAgQJ6U1MVXOaj8PK2l7WJ3RER9xtqwdhxkhw/edit?usp=sharing"",""กาญจนบุรี!J177"")"),1)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IFERROR(__xludf.DUMMYFUNCTION("IMPORTRANGE(""https://docs.google.com/spreadsheets/d/1SX6NBoVAgQJ6U1MVXOaj8PK2l7WJ3RER9xtqwdhxkhw/edit?usp=sharing"",""กาญจนบุรี!J178"")"),1)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IFERROR(__xludf.DUMMYFUNCTION("IMPORTRANGE(""https://docs.google.com/spreadsheets/d/1SX6NBoVAgQJ6U1MVXOaj8PK2l7WJ3RER9xtqwdhxkhw/edit?usp=sharing"",""กาญจนบุรี!I179"")"),1)</f>
        <v>1</v>
      </c>
      <c r="J264" s="189">
        <f ca="1">IFERROR(__xludf.DUMMYFUNCTION("IMPORTRANGE(""https://docs.google.com/spreadsheets/d/1SX6NBoVAgQJ6U1MVXOaj8PK2l7WJ3RER9xtqwdhxkhw/edit?usp=sharing"",""กาญจนบุรี!J179"")"),1)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IFERROR(__xludf.DUMMYFUNCTION("IMPORTRANGE(""https://docs.google.com/spreadsheets/d/1SX6NBoVAgQJ6U1MVXOaj8PK2l7WJ3RER9xtqwdhxkhw/edit?usp=sharing"",""กาญจนบุรี!I180"")"),20)</f>
        <v>20</v>
      </c>
      <c r="J265" s="189">
        <f ca="1">IFERROR(__xludf.DUMMYFUNCTION("IMPORTRANGE(""https://docs.google.com/spreadsheets/d/1SX6NBoVAgQJ6U1MVXOaj8PK2l7WJ3RER9xtqwdhxkhw/edit?usp=sharing"",""กาญจนบุรี!J180"")"),20)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IFERROR(__xludf.DUMMYFUNCTION("IMPORTRANGE(""https://docs.google.com/spreadsheets/d/1SX6NBoVAgQJ6U1MVXOaj8PK2l7WJ3RER9xtqwdhxkhw/edit?usp=sharing"",""กาญจนบุรี!I181"")"),20)</f>
        <v>20</v>
      </c>
      <c r="J266" s="189">
        <f ca="1">IFERROR(__xludf.DUMMYFUNCTION("IMPORTRANGE(""https://docs.google.com/spreadsheets/d/1SX6NBoVAgQJ6U1MVXOaj8PK2l7WJ3RER9xtqwdhxkhw/edit?usp=sharing"",""กาญจนบุรี!J181"")"),0)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IFERROR(__xludf.DUMMYFUNCTION("IMPORTRANGE(""https://docs.google.com/spreadsheets/d/1SX6NBoVAgQJ6U1MVXOaj8PK2l7WJ3RER9xtqwdhxkhw/edit?usp=sharing"",""กาญจนบุรี!I182"")"),1)</f>
        <v>1</v>
      </c>
      <c r="J267" s="189">
        <f ca="1">IFERROR(__xludf.DUMMYFUNCTION("IMPORTRANGE(""https://docs.google.com/spreadsheets/d/1SX6NBoVAgQJ6U1MVXOaj8PK2l7WJ3RER9xtqwdhxkhw/edit?usp=sharing"",""กาญจนบุรี!J182"")"),1)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IFERROR(__xludf.DUMMYFUNCTION("IMPORTRANGE(""https://docs.google.com/spreadsheets/d/1SX6NBoVAgQJ6U1MVXOaj8PK2l7WJ3RER9xtqwdhxkhw/edit?usp=sharing"",""กาญจนบุรี!J183"")"),0)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IFERROR(__xludf.DUMMYFUNCTION("IMPORTRANGE(""https://docs.google.com/spreadsheets/d/1SX6NBoVAgQJ6U1MVXOaj8PK2l7WJ3RER9xtqwdhxkhw/edit?usp=sharing"",""กาญจนบุรี!J184"")"),0)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IFERROR(__xludf.DUMMYFUNCTION("IMPORTRANGE(""https://docs.google.com/spreadsheets/d/1SX6NBoVAgQJ6U1MVXOaj8PK2l7WJ3RER9xtqwdhxkhw/edit?usp=sharing"",""กาญจนบุรี!I185"")"),20)</f>
        <v>20</v>
      </c>
      <c r="J270" s="316">
        <f ca="1">IFERROR(__xludf.DUMMYFUNCTION("IMPORTRANGE(""https://docs.google.com/spreadsheets/d/1SX6NBoVAgQJ6U1MVXOaj8PK2l7WJ3RER9xtqwdhxkhw/edit?usp=sharing"",""กาญจนบุรี!J185"")"),20)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80730</v>
      </c>
      <c r="O271" s="151">
        <f t="shared" ref="O271:O273" ca="1" si="84">IF(L271&gt;0,N271*100/L271,0)</f>
        <v>43.970588235294116</v>
      </c>
      <c r="P271" s="151">
        <f t="shared" ref="P271:P273" ca="1" si="85">IF(M271&gt;0,N271*100/M271,0)</f>
        <v>49.956683168316829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80730</v>
      </c>
      <c r="O273" s="156">
        <f t="shared" ca="1" si="84"/>
        <v>43.970588235294116</v>
      </c>
      <c r="P273" s="156">
        <f t="shared" ca="1" si="85"/>
        <v>49.956683168316829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IFERROR(__xludf.DUMMYFUNCTION("IMPORTRANGE(""https://docs.google.com/spreadsheets/d/1Yj_ptqi66GCucihVvJfMjLAmec39IyEx_6qawtMGysU/edit?usp=sharing"",""สบก!CK59"")"),161600)</f>
        <v>161600</v>
      </c>
      <c r="N275" s="169">
        <f ca="1">IFERROR(__xludf.DUMMYFUNCTION("IMPORTRANGE(""https://docs.google.com/spreadsheets/d/1Yj_ptqi66GCucihVvJfMjLAmec39IyEx_6qawtMGysU/edit?usp=sharing"",""สบก!CL59"")"),80730)</f>
        <v>80730</v>
      </c>
      <c r="O275" s="169">
        <f ca="1">IF(L275&gt;0,N275*100/L275,0)</f>
        <v>43.970588235294116</v>
      </c>
      <c r="P275" s="169">
        <f ca="1">IF(M275&gt;0,N275*100/M275,0)</f>
        <v>49.956683168316829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IFERROR(__xludf.DUMMYFUNCTION("IMPORTRANGE(""https://docs.google.com/spreadsheets/d/1Yj_ptqi66GCucihVvJfMjLAmec39IyEx_6qawtMGysU/edit?usp=sharing"",""สบก!CG59"")"),0)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IFERROR(__xludf.DUMMYFUNCTION("IMPORTRANGE(""https://docs.google.com/spreadsheets/d/1Yj_ptqi66GCucihVvJfMjLAmec39IyEx_6qawtMGysU/edit?usp=sharing"",""สบก!CH59"")"),183600)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IFERROR(__xludf.DUMMYFUNCTION("IMPORTRANGE(""https://docs.google.com/spreadsheets/d/1Yj_ptqi66GCucihVvJfMjLAmec39IyEx_6qawtMGysU/edit?usp=sharing"",""สบก!CI59"")"),0)</f>
        <v>0</v>
      </c>
      <c r="M279" s="49"/>
      <c r="N279" s="49">
        <f ca="1">IFERROR(__xludf.DUMMYFUNCTION("IMPORTRANGE(""https://docs.google.com/spreadsheets/d/1Yj_ptqi66GCucihVvJfMjLAmec39IyEx_6qawtMGysU/edit?usp=sharing"",""สบก!CM59"")"),0)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IFERROR(__xludf.DUMMYFUNCTION("IMPORTRANGE(""https://docs.google.com/spreadsheets/d/1SX6NBoVAgQJ6U1MVXOaj8PK2l7WJ3RER9xtqwdhxkhw/edit?usp=sharing"",""กาญจนบุรี!J191"")"),0)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IFERROR(__xludf.DUMMYFUNCTION("IMPORTRANGE(""https://docs.google.com/spreadsheets/d/1SX6NBoVAgQJ6U1MVXOaj8PK2l7WJ3RER9xtqwdhxkhw/edit?usp=sharing"",""กาญจนบุรี!J192"")"),1)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IFERROR(__xludf.DUMMYFUNCTION("IMPORTRANGE(""https://docs.google.com/spreadsheets/d/1SX6NBoVAgQJ6U1MVXOaj8PK2l7WJ3RER9xtqwdhxkhw/edit?usp=sharing"",""กาญจนบุรี!J193"")"),1)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IFERROR(__xludf.DUMMYFUNCTION("IMPORTRANGE(""https://docs.google.com/spreadsheets/d/1SX6NBoVAgQJ6U1MVXOaj8PK2l7WJ3RER9xtqwdhxkhw/edit?usp=sharing"",""กาญจนบุรี!J194"")"),1)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IFERROR(__xludf.DUMMYFUNCTION("IMPORTRANGE(""https://docs.google.com/spreadsheets/d/1SX6NBoVAgQJ6U1MVXOaj8PK2l7WJ3RER9xtqwdhxkhw/edit?usp=sharing"",""กาญจนบุรี!I195"")"),20)</f>
        <v>20</v>
      </c>
      <c r="J285" s="189">
        <f ca="1">IFERROR(__xludf.DUMMYFUNCTION("IMPORTRANGE(""https://docs.google.com/spreadsheets/d/1SX6NBoVAgQJ6U1MVXOaj8PK2l7WJ3RER9xtqwdhxkhw/edit?usp=sharing"",""กาญจนบุรี!J195"")"),20)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IFERROR(__xludf.DUMMYFUNCTION("IMPORTRANGE(""https://docs.google.com/spreadsheets/d/1SX6NBoVAgQJ6U1MVXOaj8PK2l7WJ3RER9xtqwdhxkhw/edit?usp=sharing"",""กาญจนบุรี!J196"")"),0)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IFERROR(__xludf.DUMMYFUNCTION("IMPORTRANGE(""https://docs.google.com/spreadsheets/d/1SX6NBoVAgQJ6U1MVXOaj8PK2l7WJ3RER9xtqwdhxkhw/edit?usp=sharing"",""กาญจนบุรี!J197"")"),0)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IFERROR(__xludf.DUMMYFUNCTION("IMPORTRANGE(""https://docs.google.com/spreadsheets/d/1SX6NBoVAgQJ6U1MVXOaj8PK2l7WJ3RER9xtqwdhxkhw/edit?usp=sharing"",""กาญจนบุรี!I199"")"),30)</f>
        <v>30</v>
      </c>
      <c r="J289" s="316">
        <f ca="1">IFERROR(__xludf.DUMMYFUNCTION("IMPORTRANGE(""https://docs.google.com/spreadsheets/d/1SX6NBoVAgQJ6U1MVXOaj8PK2l7WJ3RER9xtqwdhxkhw/edit?usp=sharing"",""กาญจนบุรี!J199"")"),30)</f>
        <v>30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217860</v>
      </c>
      <c r="M290" s="152">
        <f t="shared" ca="1" si="88"/>
        <v>217860</v>
      </c>
      <c r="N290" s="152">
        <f t="shared" ca="1" si="88"/>
        <v>166850</v>
      </c>
      <c r="O290" s="151">
        <f t="shared" ref="O290:O292" ca="1" si="89">IF(L290&gt;0,N290*100/L290,0)</f>
        <v>76.585880840907009</v>
      </c>
      <c r="P290" s="151">
        <f t="shared" ref="P290:P292" ca="1" si="90">IF(M290&gt;0,N290*100/M290,0)</f>
        <v>76.585880840907009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217860</v>
      </c>
      <c r="M292" s="157">
        <f t="shared" ca="1" si="92"/>
        <v>217860</v>
      </c>
      <c r="N292" s="157">
        <f t="shared" ca="1" si="92"/>
        <v>166850</v>
      </c>
      <c r="O292" s="156">
        <f t="shared" ca="1" si="89"/>
        <v>76.585880840907009</v>
      </c>
      <c r="P292" s="156">
        <f t="shared" ca="1" si="90"/>
        <v>76.585880840907009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95360</v>
      </c>
      <c r="M294" s="168">
        <f ca="1">IFERROR(__xludf.DUMMYFUNCTION("IMPORTRANGE(""https://docs.google.com/spreadsheets/d/1Yj_ptqi66GCucihVvJfMjLAmec39IyEx_6qawtMGysU/edit?usp=sharing"",""สบก!CT59"")"),95360)</f>
        <v>95360</v>
      </c>
      <c r="N294" s="169">
        <f ca="1">IFERROR(__xludf.DUMMYFUNCTION("IMPORTRANGE(""https://docs.google.com/spreadsheets/d/1Yj_ptqi66GCucihVvJfMjLAmec39IyEx_6qawtMGysU/edit?usp=sharing"",""สบก!CU59"")"),44350)</f>
        <v>44350</v>
      </c>
      <c r="O294" s="169">
        <f ca="1">IF(L294&gt;0,N294*100/L294,0)</f>
        <v>46.507969798657719</v>
      </c>
      <c r="P294" s="169">
        <f ca="1">IF(M294&gt;0,N294*100/M294,0)</f>
        <v>46.507969798657719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IFERROR(__xludf.DUMMYFUNCTION("IMPORTRANGE(""https://docs.google.com/spreadsheets/d/1Yj_ptqi66GCucihVvJfMjLAmec39IyEx_6qawtMGysU/edit?usp=sharing"",""สบก!CP59"")"),0)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IFERROR(__xludf.DUMMYFUNCTION("IMPORTRANGE(""https://docs.google.com/spreadsheets/d/1Yj_ptqi66GCucihVvJfMjLAmec39IyEx_6qawtMGysU/edit?usp=sharing"",""สบก!CQ59"")"),95360)</f>
        <v>95360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IFERROR(__xludf.DUMMYFUNCTION("IMPORTRANGE(""https://docs.google.com/spreadsheets/d/1Yj_ptqi66GCucihVvJfMjLAmec39IyEx_6qawtMGysU/edit?usp=sharing"",""สบก!CR59"")"),122500)</f>
        <v>122500</v>
      </c>
      <c r="M298" s="49">
        <f ca="1">L298</f>
        <v>122500</v>
      </c>
      <c r="N298" s="49">
        <f ca="1">IFERROR(__xludf.DUMMYFUNCTION("IMPORTRANGE(""https://docs.google.com/spreadsheets/d/1Yj_ptqi66GCucihVvJfMjLAmec39IyEx_6qawtMGysU/edit?usp=sharing"",""สบก!CV59"")"),122500)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IFERROR(__xludf.DUMMYFUNCTION("IMPORTRANGE(""https://docs.google.com/spreadsheets/d/1SX6NBoVAgQJ6U1MVXOaj8PK2l7WJ3RER9xtqwdhxkhw/edit?usp=sharing"",""กาญจนบุรี!J205"")"),0)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IFERROR(__xludf.DUMMYFUNCTION("IMPORTRANGE(""https://docs.google.com/spreadsheets/d/1SX6NBoVAgQJ6U1MVXOaj8PK2l7WJ3RER9xtqwdhxkhw/edit?usp=sharing"",""กาญจนบุรี!J206"")"),1)</f>
        <v>1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IFERROR(__xludf.DUMMYFUNCTION("IMPORTRANGE(""https://docs.google.com/spreadsheets/d/1SX6NBoVAgQJ6U1MVXOaj8PK2l7WJ3RER9xtqwdhxkhw/edit?usp=sharing"",""กาญจนบุรี!J207"")"),1)</f>
        <v>1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IFERROR(__xludf.DUMMYFUNCTION("IMPORTRANGE(""https://docs.google.com/spreadsheets/d/1SX6NBoVAgQJ6U1MVXOaj8PK2l7WJ3RER9xtqwdhxkhw/edit?usp=sharing"",""กาญจนบุรี!J208"")"),1)</f>
        <v>1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IFERROR(__xludf.DUMMYFUNCTION("IMPORTRANGE(""https://docs.google.com/spreadsheets/d/1SX6NBoVAgQJ6U1MVXOaj8PK2l7WJ3RER9xtqwdhxkhw/edit?usp=sharing"",""กาญจนบุรี!I209"")"),30)</f>
        <v>30</v>
      </c>
      <c r="J304" s="204">
        <f ca="1">IFERROR(__xludf.DUMMYFUNCTION("IMPORTRANGE(""https://docs.google.com/spreadsheets/d/1SX6NBoVAgQJ6U1MVXOaj8PK2l7WJ3RER9xtqwdhxkhw/edit?usp=sharing"",""กาญจนบุรี!J209"")"),30)</f>
        <v>30</v>
      </c>
      <c r="K304" s="224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IFERROR(__xludf.DUMMYFUNCTION("IMPORTRANGE(""https://docs.google.com/spreadsheets/d/1SX6NBoVAgQJ6U1MVXOaj8PK2l7WJ3RER9xtqwdhxkhw/edit?usp=sharing"",""กาญจนบุรี!I211"")"),30)</f>
        <v>30</v>
      </c>
      <c r="J306" s="204">
        <f ca="1">IFERROR(__xludf.DUMMYFUNCTION("IMPORTRANGE(""https://docs.google.com/spreadsheets/d/1SX6NBoVAgQJ6U1MVXOaj8PK2l7WJ3RER9xtqwdhxkhw/edit?usp=sharing"",""กาญจนบุรี!J211"")"),0)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IFERROR(__xludf.DUMMYFUNCTION("IMPORTRANGE(""https://docs.google.com/spreadsheets/d/1SX6NBoVAgQJ6U1MVXOaj8PK2l7WJ3RER9xtqwdhxkhw/edit?usp=sharing"",""กาญจนบุรี!J213"")"),0)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IFERROR(__xludf.DUMMYFUNCTION("IMPORTRANGE(""https://docs.google.com/spreadsheets/d/1SX6NBoVAgQJ6U1MVXOaj8PK2l7WJ3RER9xtqwdhxkhw/edit?usp=sharing"",""กาญจนบุรี!I214"")"),3)</f>
        <v>3</v>
      </c>
      <c r="J309" s="333">
        <f ca="1">IFERROR(__xludf.DUMMYFUNCTION("IMPORTRANGE(""https://docs.google.com/spreadsheets/d/1SX6NBoVAgQJ6U1MVXOaj8PK2l7WJ3RER9xtqwdhxkhw/edit?usp=sharing"",""กาญจนบุรี!J214"")"),1)</f>
        <v>1</v>
      </c>
      <c r="K309" s="334">
        <f ca="1">IF(I309&gt;0,J309*100/I309,0)</f>
        <v>33.333333333333336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264600</v>
      </c>
      <c r="M310" s="152">
        <f t="shared" ca="1" si="93"/>
        <v>198500</v>
      </c>
      <c r="N310" s="152">
        <f t="shared" ca="1" si="93"/>
        <v>91870</v>
      </c>
      <c r="O310" s="151">
        <f t="shared" ref="O310:O312" ca="1" si="94">IF(L310&gt;0,N310*100/L310,0)</f>
        <v>34.720332577475432</v>
      </c>
      <c r="P310" s="151">
        <f t="shared" ref="P310:P312" ca="1" si="95">IF(M310&gt;0,N310*100/M310,0)</f>
        <v>46.28211586901763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264600</v>
      </c>
      <c r="M312" s="157">
        <f t="shared" ca="1" si="97"/>
        <v>198500</v>
      </c>
      <c r="N312" s="157">
        <f t="shared" ca="1" si="97"/>
        <v>91870</v>
      </c>
      <c r="O312" s="156">
        <f t="shared" ca="1" si="94"/>
        <v>34.720332577475432</v>
      </c>
      <c r="P312" s="156">
        <f t="shared" ca="1" si="95"/>
        <v>46.28211586901763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264600</v>
      </c>
      <c r="M314" s="168">
        <f ca="1">IFERROR(__xludf.DUMMYFUNCTION("IMPORTRANGE(""https://docs.google.com/spreadsheets/d/1Yj_ptqi66GCucihVvJfMjLAmec39IyEx_6qawtMGysU/edit?usp=sharing"",""สบก!DC59"")"),198500)</f>
        <v>198500</v>
      </c>
      <c r="N314" s="169">
        <f ca="1">IFERROR(__xludf.DUMMYFUNCTION("IMPORTRANGE(""https://docs.google.com/spreadsheets/d/1Yj_ptqi66GCucihVvJfMjLAmec39IyEx_6qawtMGysU/edit?usp=sharing"",""สบก!DD59"")"),91870)</f>
        <v>91870</v>
      </c>
      <c r="O314" s="169">
        <f ca="1">IF(L314&gt;0,N314*100/L314,0)</f>
        <v>34.720332577475432</v>
      </c>
      <c r="P314" s="169">
        <f ca="1">IF(M314&gt;0,N314*100/M314,0)</f>
        <v>46.28211586901763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IFERROR(__xludf.DUMMYFUNCTION("IMPORTRANGE(""https://docs.google.com/spreadsheets/d/1Yj_ptqi66GCucihVvJfMjLAmec39IyEx_6qawtMGysU/edit?usp=sharing"",""สบก!CY59"")"),0)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IFERROR(__xludf.DUMMYFUNCTION("IMPORTRANGE(""https://docs.google.com/spreadsheets/d/1Yj_ptqi66GCucihVvJfMjLAmec39IyEx_6qawtMGysU/edit?usp=sharing"",""สบก!CZ59"")"),264600)</f>
        <v>264600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IFERROR(__xludf.DUMMYFUNCTION("IMPORTRANGE(""https://docs.google.com/spreadsheets/d/1Yj_ptqi66GCucihVvJfMjLAmec39IyEx_6qawtMGysU/edit?usp=sharing"",""สบก!DA59"")"),0)</f>
        <v>0</v>
      </c>
      <c r="M318" s="49"/>
      <c r="N318" s="49">
        <f ca="1">IFERROR(__xludf.DUMMYFUNCTION("IMPORTRANGE(""https://docs.google.com/spreadsheets/d/1Yj_ptqi66GCucihVvJfMjLAmec39IyEx_6qawtMGysU/edit?usp=sharing"",""สบก!DE59"")"),0)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IFERROR(__xludf.DUMMYFUNCTION("IMPORTRANGE(""https://docs.google.com/spreadsheets/d/1SX6NBoVAgQJ6U1MVXOaj8PK2l7WJ3RER9xtqwdhxkhw/edit?usp=sharing"",""กาญจนบุรี!J220"")"),0)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IFERROR(__xludf.DUMMYFUNCTION("IMPORTRANGE(""https://docs.google.com/spreadsheets/d/1SX6NBoVAgQJ6U1MVXOaj8PK2l7WJ3RER9xtqwdhxkhw/edit?usp=sharing"",""กาญจนบุรี!J221"")"),1)</f>
        <v>1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IFERROR(__xludf.DUMMYFUNCTION("IMPORTRANGE(""https://docs.google.com/spreadsheets/d/1SX6NBoVAgQJ6U1MVXOaj8PK2l7WJ3RER9xtqwdhxkhw/edit?usp=sharing"",""กาญจนบุรี!J222"")"),1)</f>
        <v>1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IFERROR(__xludf.DUMMYFUNCTION("IMPORTRANGE(""https://docs.google.com/spreadsheets/d/1SX6NBoVAgQJ6U1MVXOaj8PK2l7WJ3RER9xtqwdhxkhw/edit?usp=sharing"",""กาญจนบุรี!J223"")"),1)</f>
        <v>1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IFERROR(__xludf.DUMMYFUNCTION("IMPORTRANGE(""https://docs.google.com/spreadsheets/d/1SX6NBoVAgQJ6U1MVXOaj8PK2l7WJ3RER9xtqwdhxkhw/edit?usp=sharing"",""กาญจนบุรี!I224"")"),3)</f>
        <v>3</v>
      </c>
      <c r="J324" s="204">
        <f ca="1">IFERROR(__xludf.DUMMYFUNCTION("IMPORTRANGE(""https://docs.google.com/spreadsheets/d/1SX6NBoVAgQJ6U1MVXOaj8PK2l7WJ3RER9xtqwdhxkhw/edit?usp=sharing"",""กาญจนบุรี!J224"")"),1)</f>
        <v>1</v>
      </c>
      <c r="K324" s="224">
        <f ca="1">IF(I324&gt;0,J324*100/I324,0)</f>
        <v>33.333333333333336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IFERROR(__xludf.DUMMYFUNCTION("IMPORTRANGE(""https://docs.google.com/spreadsheets/d/1SX6NBoVAgQJ6U1MVXOaj8PK2l7WJ3RER9xtqwdhxkhw/edit?usp=sharing"",""กาญจนบุรี!J225"")"),0)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IFERROR(__xludf.DUMMYFUNCTION("IMPORTRANGE(""https://docs.google.com/spreadsheets/d/1SX6NBoVAgQJ6U1MVXOaj8PK2l7WJ3RER9xtqwdhxkhw/edit?usp=sharing"",""กาญจนบุรี!J226"")"),0)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IFERROR(__xludf.DUMMYFUNCTION("IMPORTRANGE(""https://docs.google.com/spreadsheets/d/1SX6NBoVAgQJ6U1MVXOaj8PK2l7WJ3RER9xtqwdhxkhw/edit?usp=sharing"",""กาญจนบุรี!I228"")"),220)</f>
        <v>220</v>
      </c>
      <c r="J328" s="339">
        <f ca="1">IFERROR(__xludf.DUMMYFUNCTION("IMPORTRANGE(""https://docs.google.com/spreadsheets/d/1SX6NBoVAgQJ6U1MVXOaj8PK2l7WJ3RER9xtqwdhxkhw/edit?usp=sharing"",""กาญจนบุรี!J228"")"),5)</f>
        <v>5</v>
      </c>
      <c r="K328" s="317">
        <f ca="1">IF(I328&gt;0,J328*100/I328,0)</f>
        <v>2.2727272727272729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1010640</v>
      </c>
      <c r="M329" s="152">
        <f t="shared" ca="1" si="98"/>
        <v>731460</v>
      </c>
      <c r="N329" s="152">
        <f t="shared" ca="1" si="98"/>
        <v>467122.38</v>
      </c>
      <c r="O329" s="151">
        <f t="shared" ref="O329:O331" ca="1" si="99">IF(L329&gt;0,N329*100/L329,0)</f>
        <v>46.22045238660651</v>
      </c>
      <c r="P329" s="151">
        <f t="shared" ref="P329:P331" ca="1" si="100">IF(M329&gt;0,N329*100/M329,0)</f>
        <v>63.861643835616441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1010640</v>
      </c>
      <c r="M331" s="157">
        <f t="shared" ca="1" si="102"/>
        <v>731460</v>
      </c>
      <c r="N331" s="157">
        <f t="shared" ca="1" si="102"/>
        <v>467122.38</v>
      </c>
      <c r="O331" s="156">
        <f t="shared" ca="1" si="99"/>
        <v>46.22045238660651</v>
      </c>
      <c r="P331" s="156">
        <f t="shared" ca="1" si="100"/>
        <v>63.861643835616441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1010640</v>
      </c>
      <c r="M333" s="168">
        <f ca="1">IFERROR(__xludf.DUMMYFUNCTION("IMPORTRANGE(""https://docs.google.com/spreadsheets/d/1Yj_ptqi66GCucihVvJfMjLAmec39IyEx_6qawtMGysU/edit?usp=sharing"",""สบก!DL59"")"),731460)</f>
        <v>731460</v>
      </c>
      <c r="N333" s="169">
        <f ca="1">IFERROR(__xludf.DUMMYFUNCTION("IMPORTRANGE(""https://docs.google.com/spreadsheets/d/1Yj_ptqi66GCucihVvJfMjLAmec39IyEx_6qawtMGysU/edit?usp=sharing"",""สบก!DM59"")"),467122.38)</f>
        <v>467122.38</v>
      </c>
      <c r="O333" s="169">
        <f ca="1">IF(L333&gt;0,N333*100/L333,0)</f>
        <v>46.22045238660651</v>
      </c>
      <c r="P333" s="169">
        <f ca="1">IF(M333&gt;0,N333*100/M333,0)</f>
        <v>63.861643835616441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IFERROR(__xludf.DUMMYFUNCTION("IMPORTRANGE(""https://docs.google.com/spreadsheets/d/1Yj_ptqi66GCucihVvJfMjLAmec39IyEx_6qawtMGysU/edit?usp=sharing"",""สบก!DH59"")"),629200)</f>
        <v>629200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IFERROR(__xludf.DUMMYFUNCTION("IMPORTRANGE(""https://docs.google.com/spreadsheets/d/1Yj_ptqi66GCucihVvJfMjLAmec39IyEx_6qawtMGysU/edit?usp=sharing"",""สบก!DI59"")"),381440)</f>
        <v>381440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IFERROR(__xludf.DUMMYFUNCTION("IMPORTRANGE(""https://docs.google.com/spreadsheets/d/1Yj_ptqi66GCucihVvJfMjLAmec39IyEx_6qawtMGysU/edit?usp=sharing"",""สบก!DJ59"")"),0)</f>
        <v>0</v>
      </c>
      <c r="M337" s="49"/>
      <c r="N337" s="49">
        <f ca="1">IFERROR(__xludf.DUMMYFUNCTION("IMPORTRANGE(""https://docs.google.com/spreadsheets/d/1Yj_ptqi66GCucihVvJfMjLAmec39IyEx_6qawtMGysU/edit?usp=sharing"",""สบก!DN59"")"),0)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IFERROR(__xludf.DUMMYFUNCTION("IMPORTRANGE(""https://docs.google.com/spreadsheets/d/1SX6NBoVAgQJ6U1MVXOaj8PK2l7WJ3RER9xtqwdhxkhw/edit?usp=sharing"",""กาญจนบุรี!I234"")"),0)</f>
        <v>0</v>
      </c>
      <c r="J339" s="188">
        <f ca="1">IFERROR(__xludf.DUMMYFUNCTION("IMPORTRANGE(""https://docs.google.com/spreadsheets/d/1SX6NBoVAgQJ6U1MVXOaj8PK2l7WJ3RER9xtqwdhxkhw/edit?usp=sharing"",""กาญจนบุรี!J234"")"),44)</f>
        <v>44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IFERROR(__xludf.DUMMYFUNCTION("IMPORTRANGE(""https://docs.google.com/spreadsheets/d/1SX6NBoVAgQJ6U1MVXOaj8PK2l7WJ3RER9xtqwdhxkhw/edit?usp=sharing"",""กาญจนบุรี!I235"")"),1960)</f>
        <v>1960</v>
      </c>
      <c r="J340" s="188">
        <f ca="1">IFERROR(__xludf.DUMMYFUNCTION("IMPORTRANGE(""https://docs.google.com/spreadsheets/d/1SX6NBoVAgQJ6U1MVXOaj8PK2l7WJ3RER9xtqwdhxkhw/edit?usp=sharing"",""กาญจนบุรี!J235"")"),319.06)</f>
        <v>319.06</v>
      </c>
      <c r="K340" s="342">
        <f t="shared" ca="1" si="103"/>
        <v>16.278571428571428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IFERROR(__xludf.DUMMYFUNCTION("IMPORTRANGE(""https://docs.google.com/spreadsheets/d/1SX6NBoVAgQJ6U1MVXOaj8PK2l7WJ3RER9xtqwdhxkhw/edit?usp=sharing"",""กาญจนบุรี!I236"")"),220)</f>
        <v>220</v>
      </c>
      <c r="J341" s="188">
        <f ca="1">IFERROR(__xludf.DUMMYFUNCTION("IMPORTRANGE(""https://docs.google.com/spreadsheets/d/1SX6NBoVAgQJ6U1MVXOaj8PK2l7WJ3RER9xtqwdhxkhw/edit?usp=sharing"",""กาญจนบุรี!J236"")"),9)</f>
        <v>9</v>
      </c>
      <c r="K341" s="342">
        <f t="shared" ca="1" si="103"/>
        <v>4.0909090909090908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IFERROR(__xludf.DUMMYFUNCTION("IMPORTRANGE(""https://docs.google.com/spreadsheets/d/1SX6NBoVAgQJ6U1MVXOaj8PK2l7WJ3RER9xtqwdhxkhw/edit?usp=sharing"",""กาญจนบุรี!I237"")"),0)</f>
        <v>0</v>
      </c>
      <c r="J342" s="188">
        <f ca="1">IFERROR(__xludf.DUMMYFUNCTION("IMPORTRANGE(""https://docs.google.com/spreadsheets/d/1SX6NBoVAgQJ6U1MVXOaj8PK2l7WJ3RER9xtqwdhxkhw/edit?usp=sharing"",""กาญจนบุรี!J237"")"),117.8)</f>
        <v>117.8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IFERROR(__xludf.DUMMYFUNCTION("IMPORTRANGE(""https://docs.google.com/spreadsheets/d/1SX6NBoVAgQJ6U1MVXOaj8PK2l7WJ3RER9xtqwdhxkhw/edit?usp=sharing"",""กาญจนบุรี!I238"")"),220)</f>
        <v>220</v>
      </c>
      <c r="J343" s="188">
        <f ca="1">IFERROR(__xludf.DUMMYFUNCTION("IMPORTRANGE(""https://docs.google.com/spreadsheets/d/1SX6NBoVAgQJ6U1MVXOaj8PK2l7WJ3RER9xtqwdhxkhw/edit?usp=sharing"",""กาญจนบุรี!J238"")"),0)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IFERROR(__xludf.DUMMYFUNCTION("IMPORTRANGE(""https://docs.google.com/spreadsheets/d/1SX6NBoVAgQJ6U1MVXOaj8PK2l7WJ3RER9xtqwdhxkhw/edit?usp=sharing"",""กาญจนบุรี!I239"")"),0)</f>
        <v>0</v>
      </c>
      <c r="J344" s="188">
        <f ca="1">IFERROR(__xludf.DUMMYFUNCTION("IMPORTRANGE(""https://docs.google.com/spreadsheets/d/1SX6NBoVAgQJ6U1MVXOaj8PK2l7WJ3RER9xtqwdhxkhw/edit?usp=sharing"",""กาญจนบุรี!J239"")"),0)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IFERROR(__xludf.DUMMYFUNCTION("IMPORTRANGE(""https://docs.google.com/spreadsheets/d/1SX6NBoVAgQJ6U1MVXOaj8PK2l7WJ3RER9xtqwdhxkhw/edit?usp=sharing"",""กาญจนบุรี!I240"")"),220)</f>
        <v>220</v>
      </c>
      <c r="J345" s="188">
        <f ca="1">IFERROR(__xludf.DUMMYFUNCTION("IMPORTRANGE(""https://docs.google.com/spreadsheets/d/1SX6NBoVAgQJ6U1MVXOaj8PK2l7WJ3RER9xtqwdhxkhw/edit?usp=sharing"",""กาญจนบุรี!J240"")"),5)</f>
        <v>5</v>
      </c>
      <c r="K345" s="342">
        <f t="shared" ca="1" si="103"/>
        <v>2.2727272727272729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IFERROR(__xludf.DUMMYFUNCTION("IMPORTRANGE(""https://docs.google.com/spreadsheets/d/1SX6NBoVAgQJ6U1MVXOaj8PK2l7WJ3RER9xtqwdhxkhw/edit?usp=sharing"",""กาญจนบุรี!I241"")"),0)</f>
        <v>0</v>
      </c>
      <c r="J346" s="188">
        <f ca="1">IFERROR(__xludf.DUMMYFUNCTION("IMPORTRANGE(""https://docs.google.com/spreadsheets/d/1SX6NBoVAgQJ6U1MVXOaj8PK2l7WJ3RER9xtqwdhxkhw/edit?usp=sharing"",""กาญจนบุรี!J241"")"),41.75)</f>
        <v>41.75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IFERROR(__xludf.DUMMYFUNCTION("IMPORTRANGE(""https://docs.google.com/spreadsheets/d/1SX6NBoVAgQJ6U1MVXOaj8PK2l7WJ3RER9xtqwdhxkhw/edit?usp=sharing"",""กาญจนบุรี!L242"")"),3147638)</f>
        <v>3147638</v>
      </c>
      <c r="M347" s="358"/>
      <c r="N347" s="358">
        <f ca="1">IFERROR(__xludf.DUMMYFUNCTION("IMPORTRANGE(""https://docs.google.com/spreadsheets/d/1SX6NBoVAgQJ6U1MVXOaj8PK2l7WJ3RER9xtqwdhxkhw/edit?usp=sharing"",""กาญจนบุรี!M242"")"),806531.47)</f>
        <v>806531.47</v>
      </c>
      <c r="O347" s="358">
        <f ca="1">+IF(L347&gt;0,N347*100/L347,0)</f>
        <v>25.623387123932293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IFERROR(__xludf.DUMMYFUNCTION("IMPORTRANGE(""https://docs.google.com/spreadsheets/d/1SX6NBoVAgQJ6U1MVXOaj8PK2l7WJ3RER9xtqwdhxkhw/edit?usp=sharing"",""กาญจนบุรี!I244"")"),150)</f>
        <v>150</v>
      </c>
      <c r="J349" s="371">
        <f ca="1">IFERROR(__xludf.DUMMYFUNCTION("IMPORTRANGE(""https://docs.google.com/spreadsheets/d/1SX6NBoVAgQJ6U1MVXOaj8PK2l7WJ3RER9xtqwdhxkhw/edit?usp=sharing"",""กาญจนบุรี!J244"")"),0)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IFERROR(__xludf.DUMMYFUNCTION("IMPORTRANGE(""https://docs.google.com/spreadsheets/d/1SX6NBoVAgQJ6U1MVXOaj8PK2l7WJ3RER9xtqwdhxkhw/edit?usp=sharing"",""กาญจนบุรี!L244"")"),380760)</f>
        <v>380760</v>
      </c>
      <c r="M349" s="373"/>
      <c r="N349" s="373">
        <f ca="1">IFERROR(__xludf.DUMMYFUNCTION("IMPORTRANGE(""https://docs.google.com/spreadsheets/d/1SX6NBoVAgQJ6U1MVXOaj8PK2l7WJ3RER9xtqwdhxkhw/edit?usp=sharing"",""กาญจนบุรี!M244"")"),142567)</f>
        <v>142567</v>
      </c>
      <c r="O349" s="373">
        <f ca="1">+IF(L349&gt;0,N349*100/L349,0)</f>
        <v>37.442746086773823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IFERROR(__xludf.DUMMYFUNCTION("IMPORTRANGE(""https://docs.google.com/spreadsheets/d/1SX6NBoVAgQJ6U1MVXOaj8PK2l7WJ3RER9xtqwdhxkhw/edit?usp=sharing"",""กาญจนบุรี!I245"")"),30)</f>
        <v>30</v>
      </c>
      <c r="J350" s="371">
        <f ca="1">IFERROR(__xludf.DUMMYFUNCTION("IMPORTRANGE(""https://docs.google.com/spreadsheets/d/1SX6NBoVAgQJ6U1MVXOaj8PK2l7WJ3RER9xtqwdhxkhw/edit?usp=sharing"",""กาญจนบุรี!J245"")"),30)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IFERROR(__xludf.DUMMYFUNCTION("IMPORTRANGE(""https://docs.google.com/spreadsheets/d/1SX6NBoVAgQJ6U1MVXOaj8PK2l7WJ3RER9xtqwdhxkhw/edit?usp=sharing"",""กาญจนบุรี!L246"")"),0)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IFERROR(__xludf.DUMMYFUNCTION("IMPORTRANGE(""https://docs.google.com/spreadsheets/d/1SX6NBoVAgQJ6U1MVXOaj8PK2l7WJ3RER9xtqwdhxkhw/edit?usp=sharing"",""กาญจนบุรี!M246"")"),0)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IFERROR(__xludf.DUMMYFUNCTION("IMPORTRANGE(""https://docs.google.com/spreadsheets/d/1SX6NBoVAgQJ6U1MVXOaj8PK2l7WJ3RER9xtqwdhxkhw/edit?usp=sharing"",""กาญจนบุรี!L247"")"),380760)</f>
        <v>380760</v>
      </c>
      <c r="M352" s="165"/>
      <c r="N352" s="164">
        <f ca="1">IFERROR(__xludf.DUMMYFUNCTION("IMPORTRANGE(""https://docs.google.com/spreadsheets/d/1SX6NBoVAgQJ6U1MVXOaj8PK2l7WJ3RER9xtqwdhxkhw/edit?usp=sharing"",""กาญจนบุรี!M247"")"),142567)</f>
        <v>142567</v>
      </c>
      <c r="O352" s="165">
        <f t="shared" ca="1" si="105"/>
        <v>37.442746086773823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IFERROR(__xludf.DUMMYFUNCTION("IMPORTRANGE(""https://docs.google.com/spreadsheets/d/1SX6NBoVAgQJ6U1MVXOaj8PK2l7WJ3RER9xtqwdhxkhw/edit?usp=sharing"",""กาญจนบุรี!L248"")"),0)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IFERROR(__xludf.DUMMYFUNCTION("IMPORTRANGE(""https://docs.google.com/spreadsheets/d/1SX6NBoVAgQJ6U1MVXOaj8PK2l7WJ3RER9xtqwdhxkhw/edit?usp=sharing"",""กาญจนบุรี!M248"")"),0)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IFERROR(__xludf.DUMMYFUNCTION("IMPORTRANGE(""https://docs.google.com/spreadsheets/d/1SX6NBoVAgQJ6U1MVXOaj8PK2l7WJ3RER9xtqwdhxkhw/edit?usp=sharing"",""กาญจนบุรี!L249"")"),380760)</f>
        <v>380760</v>
      </c>
      <c r="M354" s="169"/>
      <c r="N354" s="168">
        <f ca="1">IFERROR(__xludf.DUMMYFUNCTION("IMPORTRANGE(""https://docs.google.com/spreadsheets/d/1SX6NBoVAgQJ6U1MVXOaj8PK2l7WJ3RER9xtqwdhxkhw/edit?usp=sharing"",""กาญจนบุรี!M249"")"),142567)</f>
        <v>142567</v>
      </c>
      <c r="O354" s="169">
        <f t="shared" ca="1" si="105"/>
        <v>37.442746086773823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IFERROR(__xludf.DUMMYFUNCTION("IMPORTRANGE(""https://docs.google.com/spreadsheets/d/1SX6NBoVAgQJ6U1MVXOaj8PK2l7WJ3RER9xtqwdhxkhw/edit?usp=sharing"",""กาญจนบุรี!M250"")"),32180)</f>
        <v>32180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IFERROR(__xludf.DUMMYFUNCTION("IMPORTRANGE(""https://docs.google.com/spreadsheets/d/1SX6NBoVAgQJ6U1MVXOaj8PK2l7WJ3RER9xtqwdhxkhw/edit?usp=sharing"",""กาญจนบุรี!M251"")"),33770)</f>
        <v>33770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IFERROR(__xludf.DUMMYFUNCTION("IMPORTRANGE(""https://docs.google.com/spreadsheets/d/1SX6NBoVAgQJ6U1MVXOaj8PK2l7WJ3RER9xtqwdhxkhw/edit?usp=sharing"",""กาญจนบุรี!M252"")"),62707)</f>
        <v>62707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IFERROR(__xludf.DUMMYFUNCTION("IMPORTRANGE(""https://docs.google.com/spreadsheets/d/1SX6NBoVAgQJ6U1MVXOaj8PK2l7WJ3RER9xtqwdhxkhw/edit?usp=sharing"",""กาญจนบุรี!M253"")"),13910)</f>
        <v>13910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IFERROR(__xludf.DUMMYFUNCTION("IMPORTRANGE(""https://docs.google.com/spreadsheets/d/1SX6NBoVAgQJ6U1MVXOaj8PK2l7WJ3RER9xtqwdhxkhw/edit?usp=sharing"",""กาญจนบุรี!J255"")"),0)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IFERROR(__xludf.DUMMYFUNCTION("IMPORTRANGE(""https://docs.google.com/spreadsheets/d/1SX6NBoVAgQJ6U1MVXOaj8PK2l7WJ3RER9xtqwdhxkhw/edit?usp=sharing"",""กาญจนบุรี!J256"")"),1)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IFERROR(__xludf.DUMMYFUNCTION("IMPORTRANGE(""https://docs.google.com/spreadsheets/d/1SX6NBoVAgQJ6U1MVXOaj8PK2l7WJ3RER9xtqwdhxkhw/edit?usp=sharing"",""กาญจนบุรี!J257"")"),1)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IFERROR(__xludf.DUMMYFUNCTION("IMPORTRANGE(""https://docs.google.com/spreadsheets/d/1SX6NBoVAgQJ6U1MVXOaj8PK2l7WJ3RER9xtqwdhxkhw/edit?usp=sharing"",""กาญจนบุรี!J258"")"),1)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IFERROR(__xludf.DUMMYFUNCTION("IMPORTRANGE(""https://docs.google.com/spreadsheets/d/1SX6NBoVAgQJ6U1MVXOaj8PK2l7WJ3RER9xtqwdhxkhw/edit?usp=sharing"",""กาญจนบุรี!J166"")"),0)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IFERROR(__xludf.DUMMYFUNCTION("IMPORTRANGE(""https://docs.google.com/spreadsheets/d/1SX6NBoVAgQJ6U1MVXOaj8PK2l7WJ3RER9xtqwdhxkhw/edit?usp=sharing"",""กาญจนบุรี!J166"")"),0)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IFERROR(__xludf.DUMMYFUNCTION("IMPORTRANGE(""https://docs.google.com/spreadsheets/d/1SX6NBoVAgQJ6U1MVXOaj8PK2l7WJ3RER9xtqwdhxkhw/edit?usp=sharing"",""กาญจนบุรี!J166"")"),0)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IFERROR(__xludf.DUMMYFUNCTION("IMPORTRANGE(""https://docs.google.com/spreadsheets/d/1SX6NBoVAgQJ6U1MVXOaj8PK2l7WJ3RER9xtqwdhxkhw/edit?usp=sharing"",""กาญจนบุรี!J166"")"),0)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IFERROR(__xludf.DUMMYFUNCTION("IMPORTRANGE(""https://docs.google.com/spreadsheets/d/1SX6NBoVAgQJ6U1MVXOaj8PK2l7WJ3RER9xtqwdhxkhw/edit?usp=sharing"",""กาญจนบุรี!I263"")"),30)</f>
        <v>30</v>
      </c>
      <c r="J368" s="188">
        <f ca="1">IFERROR(__xludf.DUMMYFUNCTION("IMPORTRANGE(""https://docs.google.com/spreadsheets/d/1SX6NBoVAgQJ6U1MVXOaj8PK2l7WJ3RER9xtqwdhxkhw/edit?usp=sharing"",""กาญจนบุรี!J263"")"),30)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IFERROR(__xludf.DUMMYFUNCTION("IMPORTRANGE(""https://docs.google.com/spreadsheets/d/1SX6NBoVAgQJ6U1MVXOaj8PK2l7WJ3RER9xtqwdhxkhw/edit?usp=sharing"",""กาญจนบุรี!I164"")"),0)</f>
        <v>0</v>
      </c>
      <c r="J369" s="204">
        <f ca="1">IFERROR(__xludf.DUMMYFUNCTION("IMPORTRANGE(""https://docs.google.com/spreadsheets/d/1SX6NBoVAgQJ6U1MVXOaj8PK2l7WJ3RER9xtqwdhxkhw/edit?usp=sharing"",""กาญจนบุรี!J164"")"),0)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IFERROR(__xludf.DUMMYFUNCTION("IMPORTRANGE(""https://docs.google.com/spreadsheets/d/1SX6NBoVAgQJ6U1MVXOaj8PK2l7WJ3RER9xtqwdhxkhw/edit?usp=sharing"",""กาญจนบุรี!I265"")"),30)</f>
        <v>30</v>
      </c>
      <c r="J370" s="204">
        <f ca="1">IFERROR(__xludf.DUMMYFUNCTION("IMPORTRANGE(""https://docs.google.com/spreadsheets/d/1SX6NBoVAgQJ6U1MVXOaj8PK2l7WJ3RER9xtqwdhxkhw/edit?usp=sharing"",""กาญจนบุรี!J265"")"),30)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IFERROR(__xludf.DUMMYFUNCTION("IMPORTRANGE(""https://docs.google.com/spreadsheets/d/1SX6NBoVAgQJ6U1MVXOaj8PK2l7WJ3RER9xtqwdhxkhw/edit?usp=sharing"",""กาญจนบุรี!I164"")"),0)</f>
        <v>0</v>
      </c>
      <c r="J371" s="189">
        <f ca="1">IFERROR(__xludf.DUMMYFUNCTION("IMPORTRANGE(""https://docs.google.com/spreadsheets/d/1SX6NBoVAgQJ6U1MVXOaj8PK2l7WJ3RER9xtqwdhxkhw/edit?usp=sharing"",""กาญจนบุรี!J164"")"),0)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IFERROR(__xludf.DUMMYFUNCTION("IMPORTRANGE(""https://docs.google.com/spreadsheets/d/1SX6NBoVAgQJ6U1MVXOaj8PK2l7WJ3RER9xtqwdhxkhw/edit?usp=sharing"",""กาญจนบุรี!I267"")"),30)</f>
        <v>30</v>
      </c>
      <c r="J372" s="189">
        <f ca="1">IFERROR(__xludf.DUMMYFUNCTION("IMPORTRANGE(""https://docs.google.com/spreadsheets/d/1SX6NBoVAgQJ6U1MVXOaj8PK2l7WJ3RER9xtqwdhxkhw/edit?usp=sharing"",""กาญจนบุรี!J267"")"),0)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IFERROR(__xludf.DUMMYFUNCTION("IMPORTRANGE(""https://docs.google.com/spreadsheets/d/1SX6NBoVAgQJ6U1MVXOaj8PK2l7WJ3RER9xtqwdhxkhw/edit?usp=sharing"",""กาญจนบุรี!I164"")"),0)</f>
        <v>0</v>
      </c>
      <c r="J373" s="204">
        <f ca="1">IFERROR(__xludf.DUMMYFUNCTION("IMPORTRANGE(""https://docs.google.com/spreadsheets/d/1SX6NBoVAgQJ6U1MVXOaj8PK2l7WJ3RER9xtqwdhxkhw/edit?usp=sharing"",""กาญจนบุรี!J164"")"),0)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IFERROR(__xludf.DUMMYFUNCTION("IMPORTRANGE(""https://docs.google.com/spreadsheets/d/1SX6NBoVAgQJ6U1MVXOaj8PK2l7WJ3RER9xtqwdhxkhw/edit?usp=sharing"",""กาญจนบุรี!I164"")"),0)</f>
        <v>0</v>
      </c>
      <c r="J374" s="188">
        <f ca="1">IFERROR(__xludf.DUMMYFUNCTION("IMPORTRANGE(""https://docs.google.com/spreadsheets/d/1SX6NBoVAgQJ6U1MVXOaj8PK2l7WJ3RER9xtqwdhxkhw/edit?usp=sharing"",""กาญจนบุรี!J164"")"),0)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IFERROR(__xludf.DUMMYFUNCTION("IMPORTRANGE(""https://docs.google.com/spreadsheets/d/1SX6NBoVAgQJ6U1MVXOaj8PK2l7WJ3RER9xtqwdhxkhw/edit?usp=sharing"",""กาญจนบุรี!I270"")"),150)</f>
        <v>150</v>
      </c>
      <c r="J375" s="188">
        <f ca="1">IFERROR(__xludf.DUMMYFUNCTION("IMPORTRANGE(""https://docs.google.com/spreadsheets/d/1SX6NBoVAgQJ6U1MVXOaj8PK2l7WJ3RER9xtqwdhxkhw/edit?usp=sharing"",""กาญจนบุรี!J270"")"),0)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IFERROR(__xludf.DUMMYFUNCTION("IMPORTRANGE(""https://docs.google.com/spreadsheets/d/1SX6NBoVAgQJ6U1MVXOaj8PK2l7WJ3RER9xtqwdhxkhw/edit?usp=sharing"",""กาญจนบุรี!I271"")"),150)</f>
        <v>150</v>
      </c>
      <c r="J376" s="189">
        <f ca="1">IFERROR(__xludf.DUMMYFUNCTION("IMPORTRANGE(""https://docs.google.com/spreadsheets/d/1SX6NBoVAgQJ6U1MVXOaj8PK2l7WJ3RER9xtqwdhxkhw/edit?usp=sharing"",""กาญจนบุรี!J271"")"),0)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IFERROR(__xludf.DUMMYFUNCTION("IMPORTRANGE(""https://docs.google.com/spreadsheets/d/1SX6NBoVAgQJ6U1MVXOaj8PK2l7WJ3RER9xtqwdhxkhw/edit?usp=sharing"",""กาญจนบุรี!I272"")"),0)</f>
        <v>0</v>
      </c>
      <c r="J377" s="204">
        <f ca="1">IFERROR(__xludf.DUMMYFUNCTION("IMPORTRANGE(""https://docs.google.com/spreadsheets/d/1SX6NBoVAgQJ6U1MVXOaj8PK2l7WJ3RER9xtqwdhxkhw/edit?usp=sharing"",""กาญจนบุรี!J272"")"),0)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IFERROR(__xludf.DUMMYFUNCTION("IMPORTRANGE(""https://docs.google.com/spreadsheets/d/1SX6NBoVAgQJ6U1MVXOaj8PK2l7WJ3RER9xtqwdhxkhw/edit?usp=sharing"",""กาญจนบุรี!J273"")"),0)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IFERROR(__xludf.DUMMYFUNCTION("IMPORTRANGE(""https://docs.google.com/spreadsheets/d/1SX6NBoVAgQJ6U1MVXOaj8PK2l7WJ3RER9xtqwdhxkhw/edit?usp=sharing"",""กาญจนบุรี!J274"")"),0)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IFERROR(__xludf.DUMMYFUNCTION("IMPORTRANGE(""https://docs.google.com/spreadsheets/d/1SX6NBoVAgQJ6U1MVXOaj8PK2l7WJ3RER9xtqwdhxkhw/edit?usp=sharing"",""กาญจนบุรี!I275"")"),1000)</f>
        <v>1000</v>
      </c>
      <c r="J380" s="371">
        <f ca="1">IFERROR(__xludf.DUMMYFUNCTION("IMPORTRANGE(""https://docs.google.com/spreadsheets/d/1SX6NBoVAgQJ6U1MVXOaj8PK2l7WJ3RER9xtqwdhxkhw/edit?usp=sharing"",""กาญจนบุรี!J275"")"),0)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IFERROR(__xludf.DUMMYFUNCTION("IMPORTRANGE(""https://docs.google.com/spreadsheets/d/1SX6NBoVAgQJ6U1MVXOaj8PK2l7WJ3RER9xtqwdhxkhw/edit?usp=sharing"",""กาญจนบุรี!L275"")"),1028520)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IFERROR(__xludf.DUMMYFUNCTION("IMPORTRANGE(""https://docs.google.com/spreadsheets/d/1SX6NBoVAgQJ6U1MVXOaj8PK2l7WJ3RER9xtqwdhxkhw/edit?usp=sharing"",""กาญจนบุรี!M275"")"),285345.5)</f>
        <v>285345.5</v>
      </c>
      <c r="O380" s="373">
        <f ca="1">+IF(L380&gt;0,N380*100/L380,0)</f>
        <v>27.743310776649945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IFERROR(__xludf.DUMMYFUNCTION("IMPORTRANGE(""https://docs.google.com/spreadsheets/d/1SX6NBoVAgQJ6U1MVXOaj8PK2l7WJ3RER9xtqwdhxkhw/edit?usp=sharing"",""กาญจนบุรี!I276"")"),100)</f>
        <v>100</v>
      </c>
      <c r="J381" s="371">
        <f ca="1">IFERROR(__xludf.DUMMYFUNCTION("IMPORTRANGE(""https://docs.google.com/spreadsheets/d/1SX6NBoVAgQJ6U1MVXOaj8PK2l7WJ3RER9xtqwdhxkhw/edit?usp=sharing"",""กาญจนบุรี!J276"")"),100)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IFERROR(__xludf.DUMMYFUNCTION("IMPORTRANGE(""https://docs.google.com/spreadsheets/d/1SX6NBoVAgQJ6U1MVXOaj8PK2l7WJ3RER9xtqwdhxkhw/edit?usp=sharing"",""กาญจนบุรี!L277"")"),0)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IFERROR(__xludf.DUMMYFUNCTION("IMPORTRANGE(""https://docs.google.com/spreadsheets/d/1SX6NBoVAgQJ6U1MVXOaj8PK2l7WJ3RER9xtqwdhxkhw/edit?usp=sharing"",""กาญจนบุรี!M277"")"),0)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IFERROR(__xludf.DUMMYFUNCTION("IMPORTRANGE(""https://docs.google.com/spreadsheets/d/1SX6NBoVAgQJ6U1MVXOaj8PK2l7WJ3RER9xtqwdhxkhw/edit?usp=sharing"",""กาญจนบุรี!L278"")"),1028520)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IFERROR(__xludf.DUMMYFUNCTION("IMPORTRANGE(""https://docs.google.com/spreadsheets/d/1SX6NBoVAgQJ6U1MVXOaj8PK2l7WJ3RER9xtqwdhxkhw/edit?usp=sharing"",""กาญจนบุรี!M278"")"),285345.5)</f>
        <v>285345.5</v>
      </c>
      <c r="O383" s="165">
        <f t="shared" ca="1" si="109"/>
        <v>27.743310776649945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IFERROR(__xludf.DUMMYFUNCTION("IMPORTRANGE(""https://docs.google.com/spreadsheets/d/1SX6NBoVAgQJ6U1MVXOaj8PK2l7WJ3RER9xtqwdhxkhw/edit?usp=sharing"",""กาญจนบุรี!L279"")"),0)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IFERROR(__xludf.DUMMYFUNCTION("IMPORTRANGE(""https://docs.google.com/spreadsheets/d/1SX6NBoVAgQJ6U1MVXOaj8PK2l7WJ3RER9xtqwdhxkhw/edit?usp=sharing"",""กาญจนบุรี!M279"")"),0)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IFERROR(__xludf.DUMMYFUNCTION("IMPORTRANGE(""https://docs.google.com/spreadsheets/d/1SX6NBoVAgQJ6U1MVXOaj8PK2l7WJ3RER9xtqwdhxkhw/edit?usp=sharing"",""กาญจนบุรี!L280"")"),1028520)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IFERROR(__xludf.DUMMYFUNCTION("IMPORTRANGE(""https://docs.google.com/spreadsheets/d/1SX6NBoVAgQJ6U1MVXOaj8PK2l7WJ3RER9xtqwdhxkhw/edit?usp=sharing"",""กาญจนบุรี!M280"")"),285345.5)</f>
        <v>285345.5</v>
      </c>
      <c r="O385" s="169">
        <f t="shared" ca="1" si="109"/>
        <v>27.743310776649945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IFERROR(__xludf.DUMMYFUNCTION("IMPORTRANGE(""https://docs.google.com/spreadsheets/d/1SX6NBoVAgQJ6U1MVXOaj8PK2l7WJ3RER9xtqwdhxkhw/edit?usp=sharing"",""กาญจนบุรี!M281"")"),187775.5)</f>
        <v>187775.5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IFERROR(__xludf.DUMMYFUNCTION("IMPORTRANGE(""https://docs.google.com/spreadsheets/d/1SX6NBoVAgQJ6U1MVXOaj8PK2l7WJ3RER9xtqwdhxkhw/edit?usp=sharing"",""กาญจนบุรี!M282"")"),0)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IFERROR(__xludf.DUMMYFUNCTION("IMPORTRANGE(""https://docs.google.com/spreadsheets/d/1SX6NBoVAgQJ6U1MVXOaj8PK2l7WJ3RER9xtqwdhxkhw/edit?usp=sharing"",""กาญจนบุรี!M283"")"),65276)</f>
        <v>65276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IFERROR(__xludf.DUMMYFUNCTION("IMPORTRANGE(""https://docs.google.com/spreadsheets/d/1SX6NBoVAgQJ6U1MVXOaj8PK2l7WJ3RER9xtqwdhxkhw/edit?usp=sharing"",""กาญจนบุรี!M284"")"),32294)</f>
        <v>32294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IFERROR(__xludf.DUMMYFUNCTION("IMPORTRANGE(""https://docs.google.com/spreadsheets/d/1SX6NBoVAgQJ6U1MVXOaj8PK2l7WJ3RER9xtqwdhxkhw/edit?usp=sharing"",""กาญจนบุรี!J286"")"),0)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IFERROR(__xludf.DUMMYFUNCTION("IMPORTRANGE(""https://docs.google.com/spreadsheets/d/1SX6NBoVAgQJ6U1MVXOaj8PK2l7WJ3RER9xtqwdhxkhw/edit?usp=sharing"",""กาญจนบุรี!J287"")"),1)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IFERROR(__xludf.DUMMYFUNCTION("IMPORTRANGE(""https://docs.google.com/spreadsheets/d/1SX6NBoVAgQJ6U1MVXOaj8PK2l7WJ3RER9xtqwdhxkhw/edit?usp=sharing"",""กาญจนบุรี!J288"")"),1)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IFERROR(__xludf.DUMMYFUNCTION("IMPORTRANGE(""https://docs.google.com/spreadsheets/d/1SX6NBoVAgQJ6U1MVXOaj8PK2l7WJ3RER9xtqwdhxkhw/edit?usp=sharing"",""กาญจนบุรี!J289"")"),1)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IFERROR(__xludf.DUMMYFUNCTION("IMPORTRANGE(""https://docs.google.com/spreadsheets/d/1SX6NBoVAgQJ6U1MVXOaj8PK2l7WJ3RER9xtqwdhxkhw/edit?usp=sharing"",""กาญจนบุรี!I291"")"),100)</f>
        <v>100</v>
      </c>
      <c r="J396" s="198">
        <f ca="1">IFERROR(__xludf.DUMMYFUNCTION("IMPORTRANGE(""https://docs.google.com/spreadsheets/d/1SX6NBoVAgQJ6U1MVXOaj8PK2l7WJ3RER9xtqwdhxkhw/edit?usp=sharing"",""กาญจนบุรี!J291"")"),100)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IFERROR(__xludf.DUMMYFUNCTION("IMPORTRANGE(""https://docs.google.com/spreadsheets/d/1SX6NBoVAgQJ6U1MVXOaj8PK2l7WJ3RER9xtqwdhxkhw/edit?usp=sharing"",""กาญจนบุรี!I292"")"),1000)</f>
        <v>1000</v>
      </c>
      <c r="J397" s="198">
        <f ca="1">IFERROR(__xludf.DUMMYFUNCTION("IMPORTRANGE(""https://docs.google.com/spreadsheets/d/1SX6NBoVAgQJ6U1MVXOaj8PK2l7WJ3RER9xtqwdhxkhw/edit?usp=sharing"",""กาญจนบุรี!J292"")"),0)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IFERROR(__xludf.DUMMYFUNCTION("IMPORTRANGE(""https://docs.google.com/spreadsheets/d/1SX6NBoVAgQJ6U1MVXOaj8PK2l7WJ3RER9xtqwdhxkhw/edit?usp=sharing"",""กาญจนบุรี!I293"")"),100)</f>
        <v>100</v>
      </c>
      <c r="J398" s="198">
        <f ca="1">IFERROR(__xludf.DUMMYFUNCTION("IMPORTRANGE(""https://docs.google.com/spreadsheets/d/1SX6NBoVAgQJ6U1MVXOaj8PK2l7WJ3RER9xtqwdhxkhw/edit?usp=sharing"",""กาญจนบุรี!J293"")"),0)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IFERROR(__xludf.DUMMYFUNCTION("IMPORTRANGE(""https://docs.google.com/spreadsheets/d/1SX6NBoVAgQJ6U1MVXOaj8PK2l7WJ3RER9xtqwdhxkhw/edit?usp=sharing"",""กาญจนบุรี!J294"")"),0)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IFERROR(__xludf.DUMMYFUNCTION("IMPORTRANGE(""https://docs.google.com/spreadsheets/d/1SX6NBoVAgQJ6U1MVXOaj8PK2l7WJ3RER9xtqwdhxkhw/edit?usp=sharing"",""กาญจนบุรี!J295"")"),0)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IFERROR(__xludf.DUMMYFUNCTION("IMPORTRANGE(""https://docs.google.com/spreadsheets/d/1SX6NBoVAgQJ6U1MVXOaj8PK2l7WJ3RER9xtqwdhxkhw/edit?usp=sharing"",""กาญจนบุรี!I296"")"),144)</f>
        <v>144</v>
      </c>
      <c r="J401" s="371">
        <f ca="1">IFERROR(__xludf.DUMMYFUNCTION("IMPORTRANGE(""https://docs.google.com/spreadsheets/d/1SX6NBoVAgQJ6U1MVXOaj8PK2l7WJ3RER9xtqwdhxkhw/edit?usp=sharing"",""กาญจนบุรี!J296"")"),0)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IFERROR(__xludf.DUMMYFUNCTION("IMPORTRANGE(""https://docs.google.com/spreadsheets/d/1SX6NBoVAgQJ6U1MVXOaj8PK2l7WJ3RER9xtqwdhxkhw/edit?usp=sharing"",""กาญจนบุรี!L296"")"),169190)</f>
        <v>169190</v>
      </c>
      <c r="M401" s="373"/>
      <c r="N401" s="373">
        <f ca="1">IFERROR(__xludf.DUMMYFUNCTION("IMPORTRANGE(""https://docs.google.com/spreadsheets/d/1SX6NBoVAgQJ6U1MVXOaj8PK2l7WJ3RER9xtqwdhxkhw/edit?usp=sharing"",""กาญจนบุรี!M296"")"),12460.32)</f>
        <v>12460.32</v>
      </c>
      <c r="O401" s="373">
        <f ca="1">+IF(L401&gt;0,N401*100/L401,0)</f>
        <v>7.3646905845499147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IFERROR(__xludf.DUMMYFUNCTION("IMPORTRANGE(""https://docs.google.com/spreadsheets/d/1SX6NBoVAgQJ6U1MVXOaj8PK2l7WJ3RER9xtqwdhxkhw/edit?usp=sharing"",""กาญจนบุรี!I297"")"),48)</f>
        <v>48</v>
      </c>
      <c r="J402" s="371">
        <f ca="1">IFERROR(__xludf.DUMMYFUNCTION("IMPORTRANGE(""https://docs.google.com/spreadsheets/d/1SX6NBoVAgQJ6U1MVXOaj8PK2l7WJ3RER9xtqwdhxkhw/edit?usp=sharing"",""กาญจนบุรี!J297"")"),0)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IFERROR(__xludf.DUMMYFUNCTION("IMPORTRANGE(""https://docs.google.com/spreadsheets/d/1SX6NBoVAgQJ6U1MVXOaj8PK2l7WJ3RER9xtqwdhxkhw/edit?usp=sharing"",""กาญจนบุรี!L298"")"),0)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IFERROR(__xludf.DUMMYFUNCTION("IMPORTRANGE(""https://docs.google.com/spreadsheets/d/1SX6NBoVAgQJ6U1MVXOaj8PK2l7WJ3RER9xtqwdhxkhw/edit?usp=sharing"",""กาญจนบุรี!M298"")"),0)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IFERROR(__xludf.DUMMYFUNCTION("IMPORTRANGE(""https://docs.google.com/spreadsheets/d/1SX6NBoVAgQJ6U1MVXOaj8PK2l7WJ3RER9xtqwdhxkhw/edit?usp=sharing"",""กาญจนบุรี!L299"")"),169190)</f>
        <v>169190</v>
      </c>
      <c r="M404" s="165"/>
      <c r="N404" s="169">
        <f ca="1">IFERROR(__xludf.DUMMYFUNCTION("IMPORTRANGE(""https://docs.google.com/spreadsheets/d/1SX6NBoVAgQJ6U1MVXOaj8PK2l7WJ3RER9xtqwdhxkhw/edit?usp=sharing"",""กาญจนบุรี!M299"")"),12460.32)</f>
        <v>12460.32</v>
      </c>
      <c r="O404" s="169">
        <f t="shared" ca="1" si="112"/>
        <v>7.3646905845499147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IFERROR(__xludf.DUMMYFUNCTION("IMPORTRANGE(""https://docs.google.com/spreadsheets/d/1SX6NBoVAgQJ6U1MVXOaj8PK2l7WJ3RER9xtqwdhxkhw/edit?usp=sharing"",""กาญจนบุรี!L300"")"),0)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IFERROR(__xludf.DUMMYFUNCTION("IMPORTRANGE(""https://docs.google.com/spreadsheets/d/1SX6NBoVAgQJ6U1MVXOaj8PK2l7WJ3RER9xtqwdhxkhw/edit?usp=sharing"",""กาญจนบุรี!M300"")"),0)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IFERROR(__xludf.DUMMYFUNCTION("IMPORTRANGE(""https://docs.google.com/spreadsheets/d/1SX6NBoVAgQJ6U1MVXOaj8PK2l7WJ3RER9xtqwdhxkhw/edit?usp=sharing"",""กาญจนบุรี!L301"")"),169190)</f>
        <v>169190</v>
      </c>
      <c r="M406" s="169"/>
      <c r="N406" s="169">
        <f ca="1">IFERROR(__xludf.DUMMYFUNCTION("IMPORTRANGE(""https://docs.google.com/spreadsheets/d/1SX6NBoVAgQJ6U1MVXOaj8PK2l7WJ3RER9xtqwdhxkhw/edit?usp=sharing"",""กาญจนบุรี!M301"")"),12460.32)</f>
        <v>12460.32</v>
      </c>
      <c r="O406" s="169">
        <f t="shared" ca="1" si="112"/>
        <v>7.3646905845499147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IFERROR(__xludf.DUMMYFUNCTION("IMPORTRANGE(""https://docs.google.com/spreadsheets/d/1SX6NBoVAgQJ6U1MVXOaj8PK2l7WJ3RER9xtqwdhxkhw/edit?usp=sharing"",""กาญจนบุรี!M302"")"),12460.32)</f>
        <v>12460.32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IFERROR(__xludf.DUMMYFUNCTION("IMPORTRANGE(""https://docs.google.com/spreadsheets/d/1SX6NBoVAgQJ6U1MVXOaj8PK2l7WJ3RER9xtqwdhxkhw/edit?usp=sharing"",""กาญจนบุรี!M303"")"),0)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IFERROR(__xludf.DUMMYFUNCTION("IMPORTRANGE(""https://docs.google.com/spreadsheets/d/1SX6NBoVAgQJ6U1MVXOaj8PK2l7WJ3RER9xtqwdhxkhw/edit?usp=sharing"",""กาญจนบุรี!M304"")"),0)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IFERROR(__xludf.DUMMYFUNCTION("IMPORTRANGE(""https://docs.google.com/spreadsheets/d/1SX6NBoVAgQJ6U1MVXOaj8PK2l7WJ3RER9xtqwdhxkhw/edit?usp=sharing"",""กาญจนบุรี!M305"")"),0)</f>
        <v>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IFERROR(__xludf.DUMMYFUNCTION("IMPORTRANGE(""https://docs.google.com/spreadsheets/d/1SX6NBoVAgQJ6U1MVXOaj8PK2l7WJ3RER9xtqwdhxkhw/edit?usp=sharing"",""กาญจนบุรี!J307"")"),0)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IFERROR(__xludf.DUMMYFUNCTION("IMPORTRANGE(""https://docs.google.com/spreadsheets/d/1SX6NBoVAgQJ6U1MVXOaj8PK2l7WJ3RER9xtqwdhxkhw/edit?usp=sharing"",""กาญจนบุรี!J308"")"),1)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IFERROR(__xludf.DUMMYFUNCTION("IMPORTRANGE(""https://docs.google.com/spreadsheets/d/1SX6NBoVAgQJ6U1MVXOaj8PK2l7WJ3RER9xtqwdhxkhw/edit?usp=sharing"",""กาญจนบุรี!J309"")"),1)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IFERROR(__xludf.DUMMYFUNCTION("IMPORTRANGE(""https://docs.google.com/spreadsheets/d/1SX6NBoVAgQJ6U1MVXOaj8PK2l7WJ3RER9xtqwdhxkhw/edit?usp=sharing"",""กาญจนบุรี!J310"")"),1)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IFERROR(__xludf.DUMMYFUNCTION("IMPORTRANGE(""https://docs.google.com/spreadsheets/d/1SX6NBoVAgQJ6U1MVXOaj8PK2l7WJ3RER9xtqwdhxkhw/edit?usp=sharing"",""กาญจนบุรี!I311"")"),48)</f>
        <v>48</v>
      </c>
      <c r="J416" s="201">
        <f ca="1">IFERROR(__xludf.DUMMYFUNCTION("IMPORTRANGE(""https://docs.google.com/spreadsheets/d/1SX6NBoVAgQJ6U1MVXOaj8PK2l7WJ3RER9xtqwdhxkhw/edit?usp=sharing"",""กาญจนบุรี!J311"")"),0)</f>
        <v>0</v>
      </c>
      <c r="K416" s="202">
        <f t="shared" ref="K416:K432" ca="1" si="113">IF(I416&gt;0,J416*100/I416,0)</f>
        <v>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IFERROR(__xludf.DUMMYFUNCTION("IMPORTRANGE(""https://docs.google.com/spreadsheets/d/1SX6NBoVAgQJ6U1MVXOaj8PK2l7WJ3RER9xtqwdhxkhw/edit?usp=sharing"",""กาญจนบุรี!I312"")"),13)</f>
        <v>13</v>
      </c>
      <c r="J417" s="392">
        <f ca="1">IFERROR(__xludf.DUMMYFUNCTION("IMPORTRANGE(""https://docs.google.com/spreadsheets/d/1SX6NBoVAgQJ6U1MVXOaj8PK2l7WJ3RER9xtqwdhxkhw/edit?usp=sharing"",""กาญจนบุรี!J312"")"),0)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IFERROR(__xludf.DUMMYFUNCTION("IMPORTRANGE(""https://docs.google.com/spreadsheets/d/1SX6NBoVAgQJ6U1MVXOaj8PK2l7WJ3RER9xtqwdhxkhw/edit?usp=sharing"",""กาญจนบุรี!I313"")"),39)</f>
        <v>39</v>
      </c>
      <c r="J418" s="393">
        <f ca="1">IFERROR(__xludf.DUMMYFUNCTION("IMPORTRANGE(""https://docs.google.com/spreadsheets/d/1SX6NBoVAgQJ6U1MVXOaj8PK2l7WJ3RER9xtqwdhxkhw/edit?usp=sharing"",""กาญจนบุรี!J313"")"),0)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IFERROR(__xludf.DUMMYFUNCTION("IMPORTRANGE(""https://docs.google.com/spreadsheets/d/1SX6NBoVAgQJ6U1MVXOaj8PK2l7WJ3RER9xtqwdhxkhw/edit?usp=sharing"",""กาญจนบุรี!I314"")"),13)</f>
        <v>13</v>
      </c>
      <c r="J419" s="394">
        <f ca="1">IFERROR(__xludf.DUMMYFUNCTION("IMPORTRANGE(""https://docs.google.com/spreadsheets/d/1SX6NBoVAgQJ6U1MVXOaj8PK2l7WJ3RER9xtqwdhxkhw/edit?usp=sharing"",""กาญจนบุรี!J314"")"),0)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IFERROR(__xludf.DUMMYFUNCTION("IMPORTRANGE(""https://docs.google.com/spreadsheets/d/1SX6NBoVAgQJ6U1MVXOaj8PK2l7WJ3RER9xtqwdhxkhw/edit?usp=sharing"",""กาญจนบุรี!I315"")"),13)</f>
        <v>13</v>
      </c>
      <c r="J420" s="394">
        <f ca="1">IFERROR(__xludf.DUMMYFUNCTION("IMPORTRANGE(""https://docs.google.com/spreadsheets/d/1SX6NBoVAgQJ6U1MVXOaj8PK2l7WJ3RER9xtqwdhxkhw/edit?usp=sharing"",""กาญจนบุรี!J315"")"),13)</f>
        <v>13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IFERROR(__xludf.DUMMYFUNCTION("IMPORTRANGE(""https://docs.google.com/spreadsheets/d/1SX6NBoVAgQJ6U1MVXOaj8PK2l7WJ3RER9xtqwdhxkhw/edit?usp=sharing"",""กาญจนบุรี!I316"")"),25)</f>
        <v>25</v>
      </c>
      <c r="J421" s="392">
        <f ca="1">IFERROR(__xludf.DUMMYFUNCTION("IMPORTRANGE(""https://docs.google.com/spreadsheets/d/1SX6NBoVAgQJ6U1MVXOaj8PK2l7WJ3RER9xtqwdhxkhw/edit?usp=sharing"",""กาญจนบุรี!J316"")"),0)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IFERROR(__xludf.DUMMYFUNCTION("IMPORTRANGE(""https://docs.google.com/spreadsheets/d/1SX6NBoVAgQJ6U1MVXOaj8PK2l7WJ3RER9xtqwdhxkhw/edit?usp=sharing"",""กาญจนบุรี!I317"")"),75)</f>
        <v>75</v>
      </c>
      <c r="J422" s="393">
        <f ca="1">IFERROR(__xludf.DUMMYFUNCTION("IMPORTRANGE(""https://docs.google.com/spreadsheets/d/1SX6NBoVAgQJ6U1MVXOaj8PK2l7WJ3RER9xtqwdhxkhw/edit?usp=sharing"",""กาญจนบุรี!J317"")"),0)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IFERROR(__xludf.DUMMYFUNCTION("IMPORTRANGE(""https://docs.google.com/spreadsheets/d/1SX6NBoVAgQJ6U1MVXOaj8PK2l7WJ3RER9xtqwdhxkhw/edit?usp=sharing"",""กาญจนบุรี!I318"")"),25)</f>
        <v>25</v>
      </c>
      <c r="J423" s="394">
        <f ca="1">IFERROR(__xludf.DUMMYFUNCTION("IMPORTRANGE(""https://docs.google.com/spreadsheets/d/1SX6NBoVAgQJ6U1MVXOaj8PK2l7WJ3RER9xtqwdhxkhw/edit?usp=sharing"",""กาญจนบุรี!J318"")"),25)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IFERROR(__xludf.DUMMYFUNCTION("IMPORTRANGE(""https://docs.google.com/spreadsheets/d/1SX6NBoVAgQJ6U1MVXOaj8PK2l7WJ3RER9xtqwdhxkhw/edit?usp=sharing"",""กาญจนบุรี!I319"")"),25)</f>
        <v>25</v>
      </c>
      <c r="J424" s="394">
        <f ca="1">IFERROR(__xludf.DUMMYFUNCTION("IMPORTRANGE(""https://docs.google.com/spreadsheets/d/1SX6NBoVAgQJ6U1MVXOaj8PK2l7WJ3RER9xtqwdhxkhw/edit?usp=sharing"",""กาญจนบุรี!J319"")"),0)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IFERROR(__xludf.DUMMYFUNCTION("IMPORTRANGE(""https://docs.google.com/spreadsheets/d/1SX6NBoVAgQJ6U1MVXOaj8PK2l7WJ3RER9xtqwdhxkhw/edit?usp=sharing"",""กาญจนบุรี!I320"")"),25)</f>
        <v>25</v>
      </c>
      <c r="J425" s="394">
        <f ca="1">IFERROR(__xludf.DUMMYFUNCTION("IMPORTRANGE(""https://docs.google.com/spreadsheets/d/1SX6NBoVAgQJ6U1MVXOaj8PK2l7WJ3RER9xtqwdhxkhw/edit?usp=sharing"",""กาญจนบุรี!J320"")"),0)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IFERROR(__xludf.DUMMYFUNCTION("IMPORTRANGE(""https://docs.google.com/spreadsheets/d/1SX6NBoVAgQJ6U1MVXOaj8PK2l7WJ3RER9xtqwdhxkhw/edit?usp=sharing"",""กาญจนบุรี!I321"")"),10)</f>
        <v>10</v>
      </c>
      <c r="J426" s="392">
        <f ca="1">IFERROR(__xludf.DUMMYFUNCTION("IMPORTRANGE(""https://docs.google.com/spreadsheets/d/1SX6NBoVAgQJ6U1MVXOaj8PK2l7WJ3RER9xtqwdhxkhw/edit?usp=sharing"",""กาญจนบุรี!J321"")"),0)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IFERROR(__xludf.DUMMYFUNCTION("IMPORTRANGE(""https://docs.google.com/spreadsheets/d/1SX6NBoVAgQJ6U1MVXOaj8PK2l7WJ3RER9xtqwdhxkhw/edit?usp=sharing"",""กาญจนบุรี!I322"")"),30)</f>
        <v>30</v>
      </c>
      <c r="J427" s="393">
        <f ca="1">IFERROR(__xludf.DUMMYFUNCTION("IMPORTRANGE(""https://docs.google.com/spreadsheets/d/1SX6NBoVAgQJ6U1MVXOaj8PK2l7WJ3RER9xtqwdhxkhw/edit?usp=sharing"",""กาญจนบุรี!J322"")"),0)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IFERROR(__xludf.DUMMYFUNCTION("IMPORTRANGE(""https://docs.google.com/spreadsheets/d/1SX6NBoVAgQJ6U1MVXOaj8PK2l7WJ3RER9xtqwdhxkhw/edit?usp=sharing"",""กาญจนบุรี!I323"")"),10)</f>
        <v>10</v>
      </c>
      <c r="J428" s="394">
        <f ca="1">IFERROR(__xludf.DUMMYFUNCTION("IMPORTRANGE(""https://docs.google.com/spreadsheets/d/1SX6NBoVAgQJ6U1MVXOaj8PK2l7WJ3RER9xtqwdhxkhw/edit?usp=sharing"",""กาญจนบุรี!J323"")"),10)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IFERROR(__xludf.DUMMYFUNCTION("IMPORTRANGE(""https://docs.google.com/spreadsheets/d/1SX6NBoVAgQJ6U1MVXOaj8PK2l7WJ3RER9xtqwdhxkhw/edit?usp=sharing"",""กาญจนบุรี!I324"")"),10)</f>
        <v>10</v>
      </c>
      <c r="J429" s="394">
        <f ca="1">IFERROR(__xludf.DUMMYFUNCTION("IMPORTRANGE(""https://docs.google.com/spreadsheets/d/1SX6NBoVAgQJ6U1MVXOaj8PK2l7WJ3RER9xtqwdhxkhw/edit?usp=sharing"",""กาญจนบุรี!J324"")"),0)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IFERROR(__xludf.DUMMYFUNCTION("IMPORTRANGE(""https://docs.google.com/spreadsheets/d/1SX6NBoVAgQJ6U1MVXOaj8PK2l7WJ3RER9xtqwdhxkhw/edit?usp=sharing"",""กาญจนบุรี!I325"")"),38)</f>
        <v>38</v>
      </c>
      <c r="J430" s="392">
        <f ca="1">IFERROR(__xludf.DUMMYFUNCTION("IMPORTRANGE(""https://docs.google.com/spreadsheets/d/1SX6NBoVAgQJ6U1MVXOaj8PK2l7WJ3RER9xtqwdhxkhw/edit?usp=sharing"",""กาญจนบุรี!J325"")"),0)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IFERROR(__xludf.DUMMYFUNCTION("IMPORTRANGE(""https://docs.google.com/spreadsheets/d/1SX6NBoVAgQJ6U1MVXOaj8PK2l7WJ3RER9xtqwdhxkhw/edit?usp=sharing"",""กาญจนบุรี!I326"")"),13)</f>
        <v>13</v>
      </c>
      <c r="J431" s="394">
        <f ca="1">IFERROR(__xludf.DUMMYFUNCTION("IMPORTRANGE(""https://docs.google.com/spreadsheets/d/1SX6NBoVAgQJ6U1MVXOaj8PK2l7WJ3RER9xtqwdhxkhw/edit?usp=sharing"",""กาญจนบุรี!J326"")"),0)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IFERROR(__xludf.DUMMYFUNCTION("IMPORTRANGE(""https://docs.google.com/spreadsheets/d/1SX6NBoVAgQJ6U1MVXOaj8PK2l7WJ3RER9xtqwdhxkhw/edit?usp=sharing"",""กาญจนบุรี!I327"")"),25)</f>
        <v>25</v>
      </c>
      <c r="J432" s="394">
        <f ca="1">IFERROR(__xludf.DUMMYFUNCTION("IMPORTRANGE(""https://docs.google.com/spreadsheets/d/1SX6NBoVAgQJ6U1MVXOaj8PK2l7WJ3RER9xtqwdhxkhw/edit?usp=sharing"",""กาญจนบุรี!J327"")"),0)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IFERROR(__xludf.DUMMYFUNCTION("IMPORTRANGE(""https://docs.google.com/spreadsheets/d/1SX6NBoVAgQJ6U1MVXOaj8PK2l7WJ3RER9xtqwdhxkhw/edit?usp=sharing"",""กาญจนบุรี!J328"")"),0)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IFERROR(__xludf.DUMMYFUNCTION("IMPORTRANGE(""https://docs.google.com/spreadsheets/d/1SX6NBoVAgQJ6U1MVXOaj8PK2l7WJ3RER9xtqwdhxkhw/edit?usp=sharing"",""กาญจนบุรี!J329"")"),0)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IFERROR(__xludf.DUMMYFUNCTION("IMPORTRANGE(""https://docs.google.com/spreadsheets/d/1SX6NBoVAgQJ6U1MVXOaj8PK2l7WJ3RER9xtqwdhxkhw/edit?usp=sharing"",""กาญจนบุรี!I330"")"),40)</f>
        <v>40</v>
      </c>
      <c r="J435" s="410">
        <f ca="1">IFERROR(__xludf.DUMMYFUNCTION("IMPORTRANGE(""https://docs.google.com/spreadsheets/d/1SX6NBoVAgQJ6U1MVXOaj8PK2l7WJ3RER9xtqwdhxkhw/edit?usp=sharing"",""กาญจนบุรี!J330"")"),40)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IFERROR(__xludf.DUMMYFUNCTION("IMPORTRANGE(""https://docs.google.com/spreadsheets/d/1SX6NBoVAgQJ6U1MVXOaj8PK2l7WJ3RER9xtqwdhxkhw/edit?usp=sharing"",""กาญจนบุรี!L330"")"),144000)</f>
        <v>144000</v>
      </c>
      <c r="M435" s="412"/>
      <c r="N435" s="412">
        <f ca="1">IFERROR(__xludf.DUMMYFUNCTION("IMPORTRANGE(""https://docs.google.com/spreadsheets/d/1SX6NBoVAgQJ6U1MVXOaj8PK2l7WJ3RER9xtqwdhxkhw/edit?usp=sharing"",""กาญจนบุรี!M330"")"),68806.29)</f>
        <v>68806.289999999994</v>
      </c>
      <c r="O435" s="412">
        <f t="shared" ref="O435:O439" ca="1" si="114">+IF(L435&gt;0,N435*100/L435,0)</f>
        <v>47.782145833333324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IFERROR(__xludf.DUMMYFUNCTION("IMPORTRANGE(""https://docs.google.com/spreadsheets/d/1SX6NBoVAgQJ6U1MVXOaj8PK2l7WJ3RER9xtqwdhxkhw/edit?usp=sharing"",""กาญจนบุรี!L331"")"),0)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IFERROR(__xludf.DUMMYFUNCTION("IMPORTRANGE(""https://docs.google.com/spreadsheets/d/1SX6NBoVAgQJ6U1MVXOaj8PK2l7WJ3RER9xtqwdhxkhw/edit?usp=sharing"",""กาญจนบุรี!M331"")"),0)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IFERROR(__xludf.DUMMYFUNCTION("IMPORTRANGE(""https://docs.google.com/spreadsheets/d/1SX6NBoVAgQJ6U1MVXOaj8PK2l7WJ3RER9xtqwdhxkhw/edit?usp=sharing"",""กาญจนบุรี!L332"")"),144000)</f>
        <v>144000</v>
      </c>
      <c r="M437" s="165"/>
      <c r="N437" s="169">
        <f ca="1">IFERROR(__xludf.DUMMYFUNCTION("IMPORTRANGE(""https://docs.google.com/spreadsheets/d/1SX6NBoVAgQJ6U1MVXOaj8PK2l7WJ3RER9xtqwdhxkhw/edit?usp=sharing"",""กาญจนบุรี!M332"")"),68806.29)</f>
        <v>68806.289999999994</v>
      </c>
      <c r="O437" s="169">
        <f t="shared" ca="1" si="114"/>
        <v>47.782145833333324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IFERROR(__xludf.DUMMYFUNCTION("IMPORTRANGE(""https://docs.google.com/spreadsheets/d/1SX6NBoVAgQJ6U1MVXOaj8PK2l7WJ3RER9xtqwdhxkhw/edit?usp=sharing"",""กาญจนบุรี!L333"")"),0)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IFERROR(__xludf.DUMMYFUNCTION("IMPORTRANGE(""https://docs.google.com/spreadsheets/d/1SX6NBoVAgQJ6U1MVXOaj8PK2l7WJ3RER9xtqwdhxkhw/edit?usp=sharing"",""กาญจนบุรี!M333"")"),0)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IFERROR(__xludf.DUMMYFUNCTION("IMPORTRANGE(""https://docs.google.com/spreadsheets/d/1SX6NBoVAgQJ6U1MVXOaj8PK2l7WJ3RER9xtqwdhxkhw/edit?usp=sharing"",""กาญจนบุรี!L334"")"),144000)</f>
        <v>144000</v>
      </c>
      <c r="M439" s="169"/>
      <c r="N439" s="169">
        <f ca="1">IFERROR(__xludf.DUMMYFUNCTION("IMPORTRANGE(""https://docs.google.com/spreadsheets/d/1SX6NBoVAgQJ6U1MVXOaj8PK2l7WJ3RER9xtqwdhxkhw/edit?usp=sharing"",""กาญจนบุรี!M334"")"),68806.29)</f>
        <v>68806.289999999994</v>
      </c>
      <c r="O439" s="169">
        <f t="shared" ca="1" si="114"/>
        <v>47.782145833333324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IFERROR(__xludf.DUMMYFUNCTION("IMPORTRANGE(""https://docs.google.com/spreadsheets/d/1SX6NBoVAgQJ6U1MVXOaj8PK2l7WJ3RER9xtqwdhxkhw/edit?usp=sharing"",""กาญจนบุรี!M335"")"),61701.29)</f>
        <v>61701.29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IFERROR(__xludf.DUMMYFUNCTION("IMPORTRANGE(""https://docs.google.com/spreadsheets/d/1SX6NBoVAgQJ6U1MVXOaj8PK2l7WJ3RER9xtqwdhxkhw/edit?usp=sharing"",""กาญจนบุรี!M336"")"),0)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IFERROR(__xludf.DUMMYFUNCTION("IMPORTRANGE(""https://docs.google.com/spreadsheets/d/1SX6NBoVAgQJ6U1MVXOaj8PK2l7WJ3RER9xtqwdhxkhw/edit?usp=sharing"",""กาญจนบุรี!M337"")"),0)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IFERROR(__xludf.DUMMYFUNCTION("IMPORTRANGE(""https://docs.google.com/spreadsheets/d/1SX6NBoVAgQJ6U1MVXOaj8PK2l7WJ3RER9xtqwdhxkhw/edit?usp=sharing"",""กาญจนบุรี!M338"")"),7105)</f>
        <v>7105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IFERROR(__xludf.DUMMYFUNCTION("IMPORTRANGE(""https://docs.google.com/spreadsheets/d/1SX6NBoVAgQJ6U1MVXOaj8PK2l7WJ3RER9xtqwdhxkhw/edit?usp=sharing"",""กาญจนบุรี!J340"")"),0)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IFERROR(__xludf.DUMMYFUNCTION("IMPORTRANGE(""https://docs.google.com/spreadsheets/d/1SX6NBoVAgQJ6U1MVXOaj8PK2l7WJ3RER9xtqwdhxkhw/edit?usp=sharing"",""กาญจนบุรี!J341"")"),1)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IFERROR(__xludf.DUMMYFUNCTION("IMPORTRANGE(""https://docs.google.com/spreadsheets/d/1SX6NBoVAgQJ6U1MVXOaj8PK2l7WJ3RER9xtqwdhxkhw/edit?usp=sharing"",""กาญจนบุรี!J342"")"),1)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IFERROR(__xludf.DUMMYFUNCTION("IMPORTRANGE(""https://docs.google.com/spreadsheets/d/1SX6NBoVAgQJ6U1MVXOaj8PK2l7WJ3RER9xtqwdhxkhw/edit?usp=sharing"",""กาญจนบุรี!J343"")"),1)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IFERROR(__xludf.DUMMYFUNCTION("IMPORTRANGE(""https://docs.google.com/spreadsheets/d/1SX6NBoVAgQJ6U1MVXOaj8PK2l7WJ3RER9xtqwdhxkhw/edit?usp=sharing"",""กาญจนบุรี!I344"")"),40)</f>
        <v>40</v>
      </c>
      <c r="J449" s="201">
        <f ca="1">IFERROR(__xludf.DUMMYFUNCTION("IMPORTRANGE(""https://docs.google.com/spreadsheets/d/1SX6NBoVAgQJ6U1MVXOaj8PK2l7WJ3RER9xtqwdhxkhw/edit?usp=sharing"",""กาญจนบุรี!J344"")"),40)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IFERROR(__xludf.DUMMYFUNCTION("IMPORTRANGE(""https://docs.google.com/spreadsheets/d/1SX6NBoVAgQJ6U1MVXOaj8PK2l7WJ3RER9xtqwdhxkhw/edit?usp=sharing"",""กาญจนบุรี!I345"")"),40)</f>
        <v>40</v>
      </c>
      <c r="J450" s="189">
        <f ca="1">IFERROR(__xludf.DUMMYFUNCTION("IMPORTRANGE(""https://docs.google.com/spreadsheets/d/1SX6NBoVAgQJ6U1MVXOaj8PK2l7WJ3RER9xtqwdhxkhw/edit?usp=sharing"",""กาญจนบุรี!J345"")"),40)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IFERROR(__xludf.DUMMYFUNCTION("IMPORTRANGE(""https://docs.google.com/spreadsheets/d/1SX6NBoVAgQJ6U1MVXOaj8PK2l7WJ3RER9xtqwdhxkhw/edit?usp=sharing"",""กาญจนบุรี!I346"")"),0)</f>
        <v>0</v>
      </c>
      <c r="J451" s="188">
        <f ca="1">IFERROR(__xludf.DUMMYFUNCTION("IMPORTRANGE(""https://docs.google.com/spreadsheets/d/1SX6NBoVAgQJ6U1MVXOaj8PK2l7WJ3RER9xtqwdhxkhw/edit?usp=sharing"",""กาญจนบุรี!J346"")"),0)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IFERROR(__xludf.DUMMYFUNCTION("IMPORTRANGE(""https://docs.google.com/spreadsheets/d/1SX6NBoVAgQJ6U1MVXOaj8PK2l7WJ3RER9xtqwdhxkhw/edit?usp=sharing"",""กาญจนบุรี!I347"")"),0)</f>
        <v>0</v>
      </c>
      <c r="J452" s="188">
        <f ca="1">IFERROR(__xludf.DUMMYFUNCTION("IMPORTRANGE(""https://docs.google.com/spreadsheets/d/1SX6NBoVAgQJ6U1MVXOaj8PK2l7WJ3RER9xtqwdhxkhw/edit?usp=sharing"",""กาญจนบุรี!J347"")"),0)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IFERROR(__xludf.DUMMYFUNCTION("IMPORTRANGE(""https://docs.google.com/spreadsheets/d/1SX6NBoVAgQJ6U1MVXOaj8PK2l7WJ3RER9xtqwdhxkhw/edit?usp=sharing"",""กาญจนบุรี!J348"")"),0)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IFERROR(__xludf.DUMMYFUNCTION("IMPORTRANGE(""https://docs.google.com/spreadsheets/d/1SX6NBoVAgQJ6U1MVXOaj8PK2l7WJ3RER9xtqwdhxkhw/edit?usp=sharing"",""กาญจนบุรี!J349"")"),0)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IFERROR(__xludf.DUMMYFUNCTION("IMPORTRANGE(""https://docs.google.com/spreadsheets/d/1SX6NBoVAgQJ6U1MVXOaj8PK2l7WJ3RER9xtqwdhxkhw/edit?usp=sharing"",""กาญจนบุรี!I350"")"),186125)</f>
        <v>186125</v>
      </c>
      <c r="J455" s="371">
        <f ca="1">IFERROR(__xludf.DUMMYFUNCTION("IMPORTRANGE(""https://docs.google.com/spreadsheets/d/1SX6NBoVAgQJ6U1MVXOaj8PK2l7WJ3RER9xtqwdhxkhw/edit?usp=sharing"",""กาญจนบุรี!J350"")"),0)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IFERROR(__xludf.DUMMYFUNCTION("IMPORTRANGE(""https://docs.google.com/spreadsheets/d/1SX6NBoVAgQJ6U1MVXOaj8PK2l7WJ3RER9xtqwdhxkhw/edit?usp=sharing"",""กาญจนบุรี!L350"")"),1031428)</f>
        <v>1031428</v>
      </c>
      <c r="M455" s="373"/>
      <c r="N455" s="373">
        <f ca="1">IFERROR(__xludf.DUMMYFUNCTION("IMPORTRANGE(""https://docs.google.com/spreadsheets/d/1SX6NBoVAgQJ6U1MVXOaj8PK2l7WJ3RER9xtqwdhxkhw/edit?usp=sharing"",""กาญจนบุรี!M350"")"),137668.36)</f>
        <v>137668.35999999999</v>
      </c>
      <c r="O455" s="373">
        <f t="shared" ref="O455:O459" ca="1" si="116">+IF(L455&gt;0,N455*100/L455,0)</f>
        <v>13.347355317094356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IFERROR(__xludf.DUMMYFUNCTION("IMPORTRANGE(""https://docs.google.com/spreadsheets/d/1SX6NBoVAgQJ6U1MVXOaj8PK2l7WJ3RER9xtqwdhxkhw/edit?usp=sharing"",""กาญจนบุรี!L351"")"),0)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IFERROR(__xludf.DUMMYFUNCTION("IMPORTRANGE(""https://docs.google.com/spreadsheets/d/1SX6NBoVAgQJ6U1MVXOaj8PK2l7WJ3RER9xtqwdhxkhw/edit?usp=sharing"",""กาญจนบุรี!M351"")"),0)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IFERROR(__xludf.DUMMYFUNCTION("IMPORTRANGE(""https://docs.google.com/spreadsheets/d/1SX6NBoVAgQJ6U1MVXOaj8PK2l7WJ3RER9xtqwdhxkhw/edit?usp=sharing"",""กาญจนบุรี!L352"")"),1031428)</f>
        <v>1031428</v>
      </c>
      <c r="M457" s="165"/>
      <c r="N457" s="169">
        <f ca="1">IFERROR(__xludf.DUMMYFUNCTION("IMPORTRANGE(""https://docs.google.com/spreadsheets/d/1SX6NBoVAgQJ6U1MVXOaj8PK2l7WJ3RER9xtqwdhxkhw/edit?usp=sharing"",""กาญจนบุรี!M352"")"),137668.36)</f>
        <v>137668.35999999999</v>
      </c>
      <c r="O457" s="169">
        <f t="shared" ca="1" si="116"/>
        <v>13.347355317094356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IFERROR(__xludf.DUMMYFUNCTION("IMPORTRANGE(""https://docs.google.com/spreadsheets/d/1SX6NBoVAgQJ6U1MVXOaj8PK2l7WJ3RER9xtqwdhxkhw/edit?usp=sharing"",""กาญจนบุรี!L353"")"),0)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IFERROR(__xludf.DUMMYFUNCTION("IMPORTRANGE(""https://docs.google.com/spreadsheets/d/1SX6NBoVAgQJ6U1MVXOaj8PK2l7WJ3RER9xtqwdhxkhw/edit?usp=sharing"",""กาญจนบุรี!M353"")"),0)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IFERROR(__xludf.DUMMYFUNCTION("IMPORTRANGE(""https://docs.google.com/spreadsheets/d/1SX6NBoVAgQJ6U1MVXOaj8PK2l7WJ3RER9xtqwdhxkhw/edit?usp=sharing"",""กาญจนบุรี!L354"")"),1031428)</f>
        <v>1031428</v>
      </c>
      <c r="M459" s="169"/>
      <c r="N459" s="169">
        <f ca="1">IFERROR(__xludf.DUMMYFUNCTION("IMPORTRANGE(""https://docs.google.com/spreadsheets/d/1SX6NBoVAgQJ6U1MVXOaj8PK2l7WJ3RER9xtqwdhxkhw/edit?usp=sharing"",""กาญจนบุรี!M354"")"),137668.36)</f>
        <v>137668.35999999999</v>
      </c>
      <c r="O459" s="169">
        <f t="shared" ca="1" si="116"/>
        <v>13.347355317094356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IFERROR(__xludf.DUMMYFUNCTION("IMPORTRANGE(""https://docs.google.com/spreadsheets/d/1SX6NBoVAgQJ6U1MVXOaj8PK2l7WJ3RER9xtqwdhxkhw/edit?usp=sharing"",""กาญจนบุรี!M355"")"),0)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IFERROR(__xludf.DUMMYFUNCTION("IMPORTRANGE(""https://docs.google.com/spreadsheets/d/1SX6NBoVAgQJ6U1MVXOaj8PK2l7WJ3RER9xtqwdhxkhw/edit?usp=sharing"",""กาญจนบุรี!M356"")"),0)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IFERROR(__xludf.DUMMYFUNCTION("IMPORTRANGE(""https://docs.google.com/spreadsheets/d/1SX6NBoVAgQJ6U1MVXOaj8PK2l7WJ3RER9xtqwdhxkhw/edit?usp=sharing"",""กาญจนบุรี!M357"")"),65276)</f>
        <v>65276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IFERROR(__xludf.DUMMYFUNCTION("IMPORTRANGE(""https://docs.google.com/spreadsheets/d/1SX6NBoVAgQJ6U1MVXOaj8PK2l7WJ3RER9xtqwdhxkhw/edit?usp=sharing"",""กาญจนบุรี!M358"")"),72392.36)</f>
        <v>72392.36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IFERROR(__xludf.DUMMYFUNCTION("IMPORTRANGE(""https://docs.google.com/spreadsheets/d/1SX6NBoVAgQJ6U1MVXOaj8PK2l7WJ3RER9xtqwdhxkhw/edit?usp=sharing"",""กาญจนบุรี!I359"")"),186125)</f>
        <v>186125</v>
      </c>
      <c r="J464" s="267">
        <f ca="1">IFERROR(__xludf.DUMMYFUNCTION("IMPORTRANGE(""https://docs.google.com/spreadsheets/d/1SX6NBoVAgQJ6U1MVXOaj8PK2l7WJ3RER9xtqwdhxkhw/edit?usp=sharing"",""กาญจนบุรี!J359"")"),0)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IFERROR(__xludf.DUMMYFUNCTION("IMPORTRANGE(""https://docs.google.com/spreadsheets/d/1SX6NBoVAgQJ6U1MVXOaj8PK2l7WJ3RER9xtqwdhxkhw/edit?usp=sharing"",""กาญจนบุรี!I360"")"),186125)</f>
        <v>186125</v>
      </c>
      <c r="J465" s="420">
        <f ca="1">IFERROR(__xludf.DUMMYFUNCTION("IMPORTRANGE(""https://docs.google.com/spreadsheets/d/1SX6NBoVAgQJ6U1MVXOaj8PK2l7WJ3RER9xtqwdhxkhw/edit?usp=sharing"",""กาญจนบุรี!J360"")"),104205)</f>
        <v>104205</v>
      </c>
      <c r="K465" s="202">
        <f t="shared" ca="1" si="117"/>
        <v>55.986568166554733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IFERROR(__xludf.DUMMYFUNCTION("IMPORTRANGE(""https://docs.google.com/spreadsheets/d/1SX6NBoVAgQJ6U1MVXOaj8PK2l7WJ3RER9xtqwdhxkhw/edit?usp=sharing"",""กาญจนบุรี!I361"")"),13419)</f>
        <v>13419</v>
      </c>
      <c r="J466" s="420">
        <f ca="1">IFERROR(__xludf.DUMMYFUNCTION("IMPORTRANGE(""https://docs.google.com/spreadsheets/d/1SX6NBoVAgQJ6U1MVXOaj8PK2l7WJ3RER9xtqwdhxkhw/edit?usp=sharing"",""กาญจนบุรี!J361"")"),7847)</f>
        <v>7847</v>
      </c>
      <c r="K466" s="202">
        <f t="shared" ca="1" si="117"/>
        <v>58.476786645800729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IFERROR(__xludf.DUMMYFUNCTION("IMPORTRANGE(""https://docs.google.com/spreadsheets/d/1SX6NBoVAgQJ6U1MVXOaj8PK2l7WJ3RER9xtqwdhxkhw/edit?usp=sharing"",""กาญจนบุรี!I362"")"),0)</f>
        <v>0</v>
      </c>
      <c r="J467" s="189">
        <f ca="1">IFERROR(__xludf.DUMMYFUNCTION("IMPORTRANGE(""https://docs.google.com/spreadsheets/d/1SX6NBoVAgQJ6U1MVXOaj8PK2l7WJ3RER9xtqwdhxkhw/edit?usp=sharing"",""กาญจนบุรี!J362"")"),83703)</f>
        <v>83703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IFERROR(__xludf.DUMMYFUNCTION("IMPORTRANGE(""https://docs.google.com/spreadsheets/d/1SX6NBoVAgQJ6U1MVXOaj8PK2l7WJ3RER9xtqwdhxkhw/edit?usp=sharing"",""กาญจนบุรี!I363"")"),0)</f>
        <v>0</v>
      </c>
      <c r="J468" s="189">
        <f ca="1">IFERROR(__xludf.DUMMYFUNCTION("IMPORTRANGE(""https://docs.google.com/spreadsheets/d/1SX6NBoVAgQJ6U1MVXOaj8PK2l7WJ3RER9xtqwdhxkhw/edit?usp=sharing"",""กาญจนบุรี!J363"")"),6563)</f>
        <v>6563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IFERROR(__xludf.DUMMYFUNCTION("IMPORTRANGE(""https://docs.google.com/spreadsheets/d/1SX6NBoVAgQJ6U1MVXOaj8PK2l7WJ3RER9xtqwdhxkhw/edit?usp=sharing"",""กาญจนบุรี!I364"")"),0)</f>
        <v>0</v>
      </c>
      <c r="J469" s="189">
        <f ca="1">IFERROR(__xludf.DUMMYFUNCTION("IMPORTRANGE(""https://docs.google.com/spreadsheets/d/1SX6NBoVAgQJ6U1MVXOaj8PK2l7WJ3RER9xtqwdhxkhw/edit?usp=sharing"",""กาญจนบุรี!J364"")"),17050)</f>
        <v>17050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IFERROR(__xludf.DUMMYFUNCTION("IMPORTRANGE(""https://docs.google.com/spreadsheets/d/1SX6NBoVAgQJ6U1MVXOaj8PK2l7WJ3RER9xtqwdhxkhw/edit?usp=sharing"",""กาญจนบุรี!I365"")"),0)</f>
        <v>0</v>
      </c>
      <c r="J470" s="189">
        <f ca="1">IFERROR(__xludf.DUMMYFUNCTION("IMPORTRANGE(""https://docs.google.com/spreadsheets/d/1SX6NBoVAgQJ6U1MVXOaj8PK2l7WJ3RER9xtqwdhxkhw/edit?usp=sharing"",""กาญจนบุรี!J365"")"),1022)</f>
        <v>1022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IFERROR(__xludf.DUMMYFUNCTION("IMPORTRANGE(""https://docs.google.com/spreadsheets/d/1SX6NBoVAgQJ6U1MVXOaj8PK2l7WJ3RER9xtqwdhxkhw/edit?usp=sharing"",""กาญจนบุรี!I366"")"),0)</f>
        <v>0</v>
      </c>
      <c r="J471" s="189">
        <f ca="1">IFERROR(__xludf.DUMMYFUNCTION("IMPORTRANGE(""https://docs.google.com/spreadsheets/d/1SX6NBoVAgQJ6U1MVXOaj8PK2l7WJ3RER9xtqwdhxkhw/edit?usp=sharing"",""กาญจนบุรี!J366"")"),3452)</f>
        <v>3452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IFERROR(__xludf.DUMMYFUNCTION("IMPORTRANGE(""https://docs.google.com/spreadsheets/d/1SX6NBoVAgQJ6U1MVXOaj8PK2l7WJ3RER9xtqwdhxkhw/edit?usp=sharing"",""กาญจนบุรี!I367"")"),0)</f>
        <v>0</v>
      </c>
      <c r="J472" s="189">
        <f ca="1">IFERROR(__xludf.DUMMYFUNCTION("IMPORTRANGE(""https://docs.google.com/spreadsheets/d/1SX6NBoVAgQJ6U1MVXOaj8PK2l7WJ3RER9xtqwdhxkhw/edit?usp=sharing"",""กาญจนบุรี!J367"")"),262)</f>
        <v>262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IFERROR(__xludf.DUMMYFUNCTION("IMPORTRANGE(""https://docs.google.com/spreadsheets/d/1SX6NBoVAgQJ6U1MVXOaj8PK2l7WJ3RER9xtqwdhxkhw/edit?usp=sharing"",""กาญจนบุรี!I368"")"),186125)</f>
        <v>186125</v>
      </c>
      <c r="J473" s="420">
        <f ca="1">IFERROR(__xludf.DUMMYFUNCTION("IMPORTRANGE(""https://docs.google.com/spreadsheets/d/1SX6NBoVAgQJ6U1MVXOaj8PK2l7WJ3RER9xtqwdhxkhw/edit?usp=sharing"",""กาญจนบุรี!J368"")"),0)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IFERROR(__xludf.DUMMYFUNCTION("IMPORTRANGE(""https://docs.google.com/spreadsheets/d/1SX6NBoVAgQJ6U1MVXOaj8PK2l7WJ3RER9xtqwdhxkhw/edit?usp=sharing"",""กาญจนบุรี!I369"")"),13419)</f>
        <v>13419</v>
      </c>
      <c r="J474" s="420">
        <f ca="1">IFERROR(__xludf.DUMMYFUNCTION("IMPORTRANGE(""https://docs.google.com/spreadsheets/d/1SX6NBoVAgQJ6U1MVXOaj8PK2l7WJ3RER9xtqwdhxkhw/edit?usp=sharing"",""กาญจนบุรี!J369"")"),0)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IFERROR(__xludf.DUMMYFUNCTION("IMPORTRANGE(""https://docs.google.com/spreadsheets/d/1SX6NBoVAgQJ6U1MVXOaj8PK2l7WJ3RER9xtqwdhxkhw/edit?usp=sharing"",""กาญจนบุรี!I370"")"),0)</f>
        <v>0</v>
      </c>
      <c r="J475" s="189">
        <f ca="1">IFERROR(__xludf.DUMMYFUNCTION("IMPORTRANGE(""https://docs.google.com/spreadsheets/d/1SX6NBoVAgQJ6U1MVXOaj8PK2l7WJ3RER9xtqwdhxkhw/edit?usp=sharing"",""กาญจนบุรี!J370"")"),0)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IFERROR(__xludf.DUMMYFUNCTION("IMPORTRANGE(""https://docs.google.com/spreadsheets/d/1SX6NBoVAgQJ6U1MVXOaj8PK2l7WJ3RER9xtqwdhxkhw/edit?usp=sharing"",""กาญจนบุรี!I371"")"),0)</f>
        <v>0</v>
      </c>
      <c r="J476" s="189">
        <f ca="1">IFERROR(__xludf.DUMMYFUNCTION("IMPORTRANGE(""https://docs.google.com/spreadsheets/d/1SX6NBoVAgQJ6U1MVXOaj8PK2l7WJ3RER9xtqwdhxkhw/edit?usp=sharing"",""กาญจนบุรี!J371"")"),0)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IFERROR(__xludf.DUMMYFUNCTION("IMPORTRANGE(""https://docs.google.com/spreadsheets/d/1SX6NBoVAgQJ6U1MVXOaj8PK2l7WJ3RER9xtqwdhxkhw/edit?usp=sharing"",""กาญจนบุรี!I372"")"),0)</f>
        <v>0</v>
      </c>
      <c r="J477" s="189">
        <f ca="1">IFERROR(__xludf.DUMMYFUNCTION("IMPORTRANGE(""https://docs.google.com/spreadsheets/d/1SX6NBoVAgQJ6U1MVXOaj8PK2l7WJ3RER9xtqwdhxkhw/edit?usp=sharing"",""กาญจนบุรี!J372"")"),0)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IFERROR(__xludf.DUMMYFUNCTION("IMPORTRANGE(""https://docs.google.com/spreadsheets/d/1SX6NBoVAgQJ6U1MVXOaj8PK2l7WJ3RER9xtqwdhxkhw/edit?usp=sharing"",""กาญจนบุรี!I373"")"),0)</f>
        <v>0</v>
      </c>
      <c r="J478" s="189">
        <f ca="1">IFERROR(__xludf.DUMMYFUNCTION("IMPORTRANGE(""https://docs.google.com/spreadsheets/d/1SX6NBoVAgQJ6U1MVXOaj8PK2l7WJ3RER9xtqwdhxkhw/edit?usp=sharing"",""กาญจนบุรี!J373"")"),0)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IFERROR(__xludf.DUMMYFUNCTION("IMPORTRANGE(""https://docs.google.com/spreadsheets/d/1SX6NBoVAgQJ6U1MVXOaj8PK2l7WJ3RER9xtqwdhxkhw/edit?usp=sharing"",""กาญจนบุรี!I374"")"),0)</f>
        <v>0</v>
      </c>
      <c r="J479" s="189">
        <f ca="1">IFERROR(__xludf.DUMMYFUNCTION("IMPORTRANGE(""https://docs.google.com/spreadsheets/d/1SX6NBoVAgQJ6U1MVXOaj8PK2l7WJ3RER9xtqwdhxkhw/edit?usp=sharing"",""กาญจนบุรี!J374"")"),0)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IFERROR(__xludf.DUMMYFUNCTION("IMPORTRANGE(""https://docs.google.com/spreadsheets/d/1SX6NBoVAgQJ6U1MVXOaj8PK2l7WJ3RER9xtqwdhxkhw/edit?usp=sharing"",""กาญจนบุรี!I375"")"),0)</f>
        <v>0</v>
      </c>
      <c r="J480" s="189">
        <f ca="1">IFERROR(__xludf.DUMMYFUNCTION("IMPORTRANGE(""https://docs.google.com/spreadsheets/d/1SX6NBoVAgQJ6U1MVXOaj8PK2l7WJ3RER9xtqwdhxkhw/edit?usp=sharing"",""กาญจนบุรี!J375"")"),0)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IFERROR(__xludf.DUMMYFUNCTION("IMPORTRANGE(""https://docs.google.com/spreadsheets/d/1SX6NBoVAgQJ6U1MVXOaj8PK2l7WJ3RER9xtqwdhxkhw/edit?usp=sharing"",""กาญจนบุรี!I376"")"),186125)</f>
        <v>186125</v>
      </c>
      <c r="J481" s="420">
        <f ca="1">IFERROR(__xludf.DUMMYFUNCTION("IMPORTRANGE(""https://docs.google.com/spreadsheets/d/1SX6NBoVAgQJ6U1MVXOaj8PK2l7WJ3RER9xtqwdhxkhw/edit?usp=sharing"",""กาญจนบุรี!J376"")"),0)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IFERROR(__xludf.DUMMYFUNCTION("IMPORTRANGE(""https://docs.google.com/spreadsheets/d/1SX6NBoVAgQJ6U1MVXOaj8PK2l7WJ3RER9xtqwdhxkhw/edit?usp=sharing"",""กาญจนบุรี!I377"")"),13419)</f>
        <v>13419</v>
      </c>
      <c r="J482" s="420">
        <f ca="1">IFERROR(__xludf.DUMMYFUNCTION("IMPORTRANGE(""https://docs.google.com/spreadsheets/d/1SX6NBoVAgQJ6U1MVXOaj8PK2l7WJ3RER9xtqwdhxkhw/edit?usp=sharing"",""กาญจนบุรี!J377"")"),0)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IFERROR(__xludf.DUMMYFUNCTION("IMPORTRANGE(""https://docs.google.com/spreadsheets/d/1SX6NBoVAgQJ6U1MVXOaj8PK2l7WJ3RER9xtqwdhxkhw/edit?usp=sharing"",""กาญจนบุรี!I378"")"),0)</f>
        <v>0</v>
      </c>
      <c r="J483" s="189">
        <f ca="1">IFERROR(__xludf.DUMMYFUNCTION("IMPORTRANGE(""https://docs.google.com/spreadsheets/d/1SX6NBoVAgQJ6U1MVXOaj8PK2l7WJ3RER9xtqwdhxkhw/edit?usp=sharing"",""กาญจนบุรี!J378"")"),0)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IFERROR(__xludf.DUMMYFUNCTION("IMPORTRANGE(""https://docs.google.com/spreadsheets/d/1SX6NBoVAgQJ6U1MVXOaj8PK2l7WJ3RER9xtqwdhxkhw/edit?usp=sharing"",""กาญจนบุรี!I379"")"),0)</f>
        <v>0</v>
      </c>
      <c r="J484" s="189">
        <f ca="1">IFERROR(__xludf.DUMMYFUNCTION("IMPORTRANGE(""https://docs.google.com/spreadsheets/d/1SX6NBoVAgQJ6U1MVXOaj8PK2l7WJ3RER9xtqwdhxkhw/edit?usp=sharing"",""กาญจนบุรี!J379"")"),0)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IFERROR(__xludf.DUMMYFUNCTION("IMPORTRANGE(""https://docs.google.com/spreadsheets/d/1SX6NBoVAgQJ6U1MVXOaj8PK2l7WJ3RER9xtqwdhxkhw/edit?usp=sharing"",""กาญจนบุรี!I380"")"),0)</f>
        <v>0</v>
      </c>
      <c r="J485" s="189">
        <f ca="1">IFERROR(__xludf.DUMMYFUNCTION("IMPORTRANGE(""https://docs.google.com/spreadsheets/d/1SX6NBoVAgQJ6U1MVXOaj8PK2l7WJ3RER9xtqwdhxkhw/edit?usp=sharing"",""กาญจนบุรี!J380"")"),0)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IFERROR(__xludf.DUMMYFUNCTION("IMPORTRANGE(""https://docs.google.com/spreadsheets/d/1SX6NBoVAgQJ6U1MVXOaj8PK2l7WJ3RER9xtqwdhxkhw/edit?usp=sharing"",""กาญจนบุรี!I381"")"),0)</f>
        <v>0</v>
      </c>
      <c r="J486" s="189">
        <f ca="1">IFERROR(__xludf.DUMMYFUNCTION("IMPORTRANGE(""https://docs.google.com/spreadsheets/d/1SX6NBoVAgQJ6U1MVXOaj8PK2l7WJ3RER9xtqwdhxkhw/edit?usp=sharing"",""กาญจนบุรี!J381"")"),0)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IFERROR(__xludf.DUMMYFUNCTION("IMPORTRANGE(""https://docs.google.com/spreadsheets/d/1SX6NBoVAgQJ6U1MVXOaj8PK2l7WJ3RER9xtqwdhxkhw/edit?usp=sharing"",""กาญจนบุรี!I382"")"),0)</f>
        <v>0</v>
      </c>
      <c r="J487" s="420">
        <f ca="1">IFERROR(__xludf.DUMMYFUNCTION("IMPORTRANGE(""https://docs.google.com/spreadsheets/d/1SX6NBoVAgQJ6U1MVXOaj8PK2l7WJ3RER9xtqwdhxkhw/edit?usp=sharing"",""กาญจนบุรี!J382"")"),0)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IFERROR(__xludf.DUMMYFUNCTION("IMPORTRANGE(""https://docs.google.com/spreadsheets/d/1SX6NBoVAgQJ6U1MVXOaj8PK2l7WJ3RER9xtqwdhxkhw/edit?usp=sharing"",""กาญจนบุรี!I383"")"),0)</f>
        <v>0</v>
      </c>
      <c r="J488" s="420">
        <f ca="1">IFERROR(__xludf.DUMMYFUNCTION("IMPORTRANGE(""https://docs.google.com/spreadsheets/d/1SX6NBoVAgQJ6U1MVXOaj8PK2l7WJ3RER9xtqwdhxkhw/edit?usp=sharing"",""กาญจนบุรี!J383"")"),0)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IFERROR(__xludf.DUMMYFUNCTION("IMPORTRANGE(""https://docs.google.com/spreadsheets/d/1SX6NBoVAgQJ6U1MVXOaj8PK2l7WJ3RER9xtqwdhxkhw/edit?usp=sharing"",""กาญจนบุรี!I384"")"),0)</f>
        <v>0</v>
      </c>
      <c r="J489" s="189">
        <f ca="1">IFERROR(__xludf.DUMMYFUNCTION("IMPORTRANGE(""https://docs.google.com/spreadsheets/d/1SX6NBoVAgQJ6U1MVXOaj8PK2l7WJ3RER9xtqwdhxkhw/edit?usp=sharing"",""กาญจนบุรี!J384"")"),0)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IFERROR(__xludf.DUMMYFUNCTION("IMPORTRANGE(""https://docs.google.com/spreadsheets/d/1SX6NBoVAgQJ6U1MVXOaj8PK2l7WJ3RER9xtqwdhxkhw/edit?usp=sharing"",""กาญจนบุรี!I385"")"),0)</f>
        <v>0</v>
      </c>
      <c r="J490" s="189">
        <f ca="1">IFERROR(__xludf.DUMMYFUNCTION("IMPORTRANGE(""https://docs.google.com/spreadsheets/d/1SX6NBoVAgQJ6U1MVXOaj8PK2l7WJ3RER9xtqwdhxkhw/edit?usp=sharing"",""กาญจนบุรี!J385"")"),0)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IFERROR(__xludf.DUMMYFUNCTION("IMPORTRANGE(""https://docs.google.com/spreadsheets/d/1SX6NBoVAgQJ6U1MVXOaj8PK2l7WJ3RER9xtqwdhxkhw/edit?usp=sharing"",""กาญจนบุรี!I386"")"),0)</f>
        <v>0</v>
      </c>
      <c r="J491" s="189">
        <f ca="1">IFERROR(__xludf.DUMMYFUNCTION("IMPORTRANGE(""https://docs.google.com/spreadsheets/d/1SX6NBoVAgQJ6U1MVXOaj8PK2l7WJ3RER9xtqwdhxkhw/edit?usp=sharing"",""กาญจนบุรี!J386"")"),0)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IFERROR(__xludf.DUMMYFUNCTION("IMPORTRANGE(""https://docs.google.com/spreadsheets/d/1SX6NBoVAgQJ6U1MVXOaj8PK2l7WJ3RER9xtqwdhxkhw/edit?usp=sharing"",""กาญจนบุรี!I387"")"),0)</f>
        <v>0</v>
      </c>
      <c r="J492" s="189">
        <f ca="1">IFERROR(__xludf.DUMMYFUNCTION("IMPORTRANGE(""https://docs.google.com/spreadsheets/d/1SX6NBoVAgQJ6U1MVXOaj8PK2l7WJ3RER9xtqwdhxkhw/edit?usp=sharing"",""กาญจนบุรี!J387"")"),0)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IFERROR(__xludf.DUMMYFUNCTION("IMPORTRANGE(""https://docs.google.com/spreadsheets/d/1SX6NBoVAgQJ6U1MVXOaj8PK2l7WJ3RER9xtqwdhxkhw/edit?usp=sharing"",""กาญจนบุรี!I388"")"),0)</f>
        <v>0</v>
      </c>
      <c r="J493" s="189">
        <f ca="1">IFERROR(__xludf.DUMMYFUNCTION("IMPORTRANGE(""https://docs.google.com/spreadsheets/d/1SX6NBoVAgQJ6U1MVXOaj8PK2l7WJ3RER9xtqwdhxkhw/edit?usp=sharing"",""กาญจนบุรี!J388"")"),0)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IFERROR(__xludf.DUMMYFUNCTION("IMPORTRANGE(""https://docs.google.com/spreadsheets/d/1SX6NBoVAgQJ6U1MVXOaj8PK2l7WJ3RER9xtqwdhxkhw/edit?usp=sharing"",""กาญจนบุรี!I389"")"),0)</f>
        <v>0</v>
      </c>
      <c r="J494" s="436">
        <f ca="1">IFERROR(__xludf.DUMMYFUNCTION("IMPORTRANGE(""https://docs.google.com/spreadsheets/d/1SX6NBoVAgQJ6U1MVXOaj8PK2l7WJ3RER9xtqwdhxkhw/edit?usp=sharing"",""กาญจนบุรี!J389"")"),0)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IFERROR(__xludf.DUMMYFUNCTION("IMPORTRANGE(""https://docs.google.com/spreadsheets/d/1SX6NBoVAgQJ6U1MVXOaj8PK2l7WJ3RER9xtqwdhxkhw/edit?usp=sharing"",""กาญจนบุรี!I390"")"),0)</f>
        <v>0</v>
      </c>
      <c r="J495" s="436">
        <f ca="1">IFERROR(__xludf.DUMMYFUNCTION("IMPORTRANGE(""https://docs.google.com/spreadsheets/d/1SX6NBoVAgQJ6U1MVXOaj8PK2l7WJ3RER9xtqwdhxkhw/edit?usp=sharing"",""กาญจนบุรี!J390"")"),0)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IFERROR(__xludf.DUMMYFUNCTION("IMPORTRANGE(""https://docs.google.com/spreadsheets/d/1SX6NBoVAgQJ6U1MVXOaj8PK2l7WJ3RER9xtqwdhxkhw/edit?usp=sharing"",""กาญจนบุรี!I391"")"),0)</f>
        <v>0</v>
      </c>
      <c r="J496" s="436">
        <f ca="1">IFERROR(__xludf.DUMMYFUNCTION("IMPORTRANGE(""https://docs.google.com/spreadsheets/d/1SX6NBoVAgQJ6U1MVXOaj8PK2l7WJ3RER9xtqwdhxkhw/edit?usp=sharing"",""กาญจนบุรี!J391"")"),0)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IFERROR(__xludf.DUMMYFUNCTION("IMPORTRANGE(""https://docs.google.com/spreadsheets/d/1SX6NBoVAgQJ6U1MVXOaj8PK2l7WJ3RER9xtqwdhxkhw/edit?usp=sharing"",""กาญจนบุรี!I392"")"),4217)</f>
        <v>4217</v>
      </c>
      <c r="J497" s="443">
        <f ca="1">IFERROR(__xludf.DUMMYFUNCTION("IMPORTRANGE(""https://docs.google.com/spreadsheets/d/1SX6NBoVAgQJ6U1MVXOaj8PK2l7WJ3RER9xtqwdhxkhw/edit?usp=sharing"",""กาญจนบุรี!J392"")"),0)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IFERROR(__xludf.DUMMYFUNCTION("IMPORTRANGE(""https://docs.google.com/spreadsheets/d/1SX6NBoVAgQJ6U1MVXOaj8PK2l7WJ3RER9xtqwdhxkhw/edit?usp=sharing"",""กาญจนบุรี!I393"")"),4217)</f>
        <v>4217</v>
      </c>
      <c r="J498" s="420">
        <f ca="1">IFERROR(__xludf.DUMMYFUNCTION("IMPORTRANGE(""https://docs.google.com/spreadsheets/d/1SX6NBoVAgQJ6U1MVXOaj8PK2l7WJ3RER9xtqwdhxkhw/edit?usp=sharing"",""กาญจนบุรี!J393"")"),0)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IFERROR(__xludf.DUMMYFUNCTION("IMPORTRANGE(""https://docs.google.com/spreadsheets/d/1SX6NBoVAgQJ6U1MVXOaj8PK2l7WJ3RER9xtqwdhxkhw/edit?usp=sharing"",""กาญจนบุรี!I394"")"),232)</f>
        <v>232</v>
      </c>
      <c r="J499" s="420">
        <f ca="1">IFERROR(__xludf.DUMMYFUNCTION("IMPORTRANGE(""https://docs.google.com/spreadsheets/d/1SX6NBoVAgQJ6U1MVXOaj8PK2l7WJ3RER9xtqwdhxkhw/edit?usp=sharing"",""กาญจนบุรี!J394"")"),0)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IFERROR(__xludf.DUMMYFUNCTION("IMPORTRANGE(""https://docs.google.com/spreadsheets/d/1SX6NBoVAgQJ6U1MVXOaj8PK2l7WJ3RER9xtqwdhxkhw/edit?usp=sharing"",""กาญจนบุรี!I395"")"),0)</f>
        <v>0</v>
      </c>
      <c r="J500" s="162">
        <f ca="1">IFERROR(__xludf.DUMMYFUNCTION("IMPORTRANGE(""https://docs.google.com/spreadsheets/d/1SX6NBoVAgQJ6U1MVXOaj8PK2l7WJ3RER9xtqwdhxkhw/edit?usp=sharing"",""กาญจนบุรี!J395"")"),0)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IFERROR(__xludf.DUMMYFUNCTION("IMPORTRANGE(""https://docs.google.com/spreadsheets/d/1SX6NBoVAgQJ6U1MVXOaj8PK2l7WJ3RER9xtqwdhxkhw/edit?usp=sharing"",""กาญจนบุรี!I396"")"),0)</f>
        <v>0</v>
      </c>
      <c r="J501" s="162">
        <f ca="1">IFERROR(__xludf.DUMMYFUNCTION("IMPORTRANGE(""https://docs.google.com/spreadsheets/d/1SX6NBoVAgQJ6U1MVXOaj8PK2l7WJ3RER9xtqwdhxkhw/edit?usp=sharing"",""กาญจนบุรี!J396"")"),0)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IFERROR(__xludf.DUMMYFUNCTION("IMPORTRANGE(""https://docs.google.com/spreadsheets/d/1SX6NBoVAgQJ6U1MVXOaj8PK2l7WJ3RER9xtqwdhxkhw/edit?usp=sharing"",""กาญจนบุรี!I397"")"),0)</f>
        <v>0</v>
      </c>
      <c r="J502" s="189">
        <f ca="1">IFERROR(__xludf.DUMMYFUNCTION("IMPORTRANGE(""https://docs.google.com/spreadsheets/d/1SX6NBoVAgQJ6U1MVXOaj8PK2l7WJ3RER9xtqwdhxkhw/edit?usp=sharing"",""กาญจนบุรี!J397"")"),0)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IFERROR(__xludf.DUMMYFUNCTION("IMPORTRANGE(""https://docs.google.com/spreadsheets/d/1SX6NBoVAgQJ6U1MVXOaj8PK2l7WJ3RER9xtqwdhxkhw/edit?usp=sharing"",""กาญจนบุรี!I398"")"),0)</f>
        <v>0</v>
      </c>
      <c r="J503" s="198">
        <f ca="1">IFERROR(__xludf.DUMMYFUNCTION("IMPORTRANGE(""https://docs.google.com/spreadsheets/d/1SX6NBoVAgQJ6U1MVXOaj8PK2l7WJ3RER9xtqwdhxkhw/edit?usp=sharing"",""กาญจนบุรี!J398"")"),0)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IFERROR(__xludf.DUMMYFUNCTION("IMPORTRANGE(""https://docs.google.com/spreadsheets/d/1SX6NBoVAgQJ6U1MVXOaj8PK2l7WJ3RER9xtqwdhxkhw/edit?usp=sharing"",""กาญจนบุรี!I399"")"),0)</f>
        <v>0</v>
      </c>
      <c r="J504" s="189">
        <f ca="1">IFERROR(__xludf.DUMMYFUNCTION("IMPORTRANGE(""https://docs.google.com/spreadsheets/d/1SX6NBoVAgQJ6U1MVXOaj8PK2l7WJ3RER9xtqwdhxkhw/edit?usp=sharing"",""กาญจนบุรี!J399"")"),0)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IFERROR(__xludf.DUMMYFUNCTION("IMPORTRANGE(""https://docs.google.com/spreadsheets/d/1SX6NBoVAgQJ6U1MVXOaj8PK2l7WJ3RER9xtqwdhxkhw/edit?usp=sharing"",""กาญจนบุรี!I400"")"),0)</f>
        <v>0</v>
      </c>
      <c r="J505" s="198">
        <f ca="1">IFERROR(__xludf.DUMMYFUNCTION("IMPORTRANGE(""https://docs.google.com/spreadsheets/d/1SX6NBoVAgQJ6U1MVXOaj8PK2l7WJ3RER9xtqwdhxkhw/edit?usp=sharing"",""กาญจนบุรี!J400"")"),0)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IFERROR(__xludf.DUMMYFUNCTION("IMPORTRANGE(""https://docs.google.com/spreadsheets/d/1SX6NBoVAgQJ6U1MVXOaj8PK2l7WJ3RER9xtqwdhxkhw/edit?usp=sharing"",""กาญจนบุรี!I401"")"),0)</f>
        <v>0</v>
      </c>
      <c r="J506" s="189">
        <f ca="1">IFERROR(__xludf.DUMMYFUNCTION("IMPORTRANGE(""https://docs.google.com/spreadsheets/d/1SX6NBoVAgQJ6U1MVXOaj8PK2l7WJ3RER9xtqwdhxkhw/edit?usp=sharing"",""กาญจนบุรี!J401"")"),0)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IFERROR(__xludf.DUMMYFUNCTION("IMPORTRANGE(""https://docs.google.com/spreadsheets/d/1SX6NBoVAgQJ6U1MVXOaj8PK2l7WJ3RER9xtqwdhxkhw/edit?usp=sharing"",""กาญจนบุรี!I402"")"),0)</f>
        <v>0</v>
      </c>
      <c r="J507" s="198">
        <f ca="1">IFERROR(__xludf.DUMMYFUNCTION("IMPORTRANGE(""https://docs.google.com/spreadsheets/d/1SX6NBoVAgQJ6U1MVXOaj8PK2l7WJ3RER9xtqwdhxkhw/edit?usp=sharing"",""กาญจนบุรี!J402"")"),0)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IFERROR(__xludf.DUMMYFUNCTION("IMPORTRANGE(""https://docs.google.com/spreadsheets/d/1SX6NBoVAgQJ6U1MVXOaj8PK2l7WJ3RER9xtqwdhxkhw/edit?usp=sharing"",""กาญจนบุรี!I403"")"),0)</f>
        <v>0</v>
      </c>
      <c r="J508" s="162">
        <f ca="1">IFERROR(__xludf.DUMMYFUNCTION("IMPORTRANGE(""https://docs.google.com/spreadsheets/d/1SX6NBoVAgQJ6U1MVXOaj8PK2l7WJ3RER9xtqwdhxkhw/edit?usp=sharing"",""กาญจนบุรี!J403"")"),0)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IFERROR(__xludf.DUMMYFUNCTION("IMPORTRANGE(""https://docs.google.com/spreadsheets/d/1SX6NBoVAgQJ6U1MVXOaj8PK2l7WJ3RER9xtqwdhxkhw/edit?usp=sharing"",""กาญจนบุรี!I404"")"),0)</f>
        <v>0</v>
      </c>
      <c r="J509" s="162">
        <f ca="1">IFERROR(__xludf.DUMMYFUNCTION("IMPORTRANGE(""https://docs.google.com/spreadsheets/d/1SX6NBoVAgQJ6U1MVXOaj8PK2l7WJ3RER9xtqwdhxkhw/edit?usp=sharing"",""กาญจนบุรี!J404"")"),0)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IFERROR(__xludf.DUMMYFUNCTION("IMPORTRANGE(""https://docs.google.com/spreadsheets/d/1SX6NBoVAgQJ6U1MVXOaj8PK2l7WJ3RER9xtqwdhxkhw/edit?usp=sharing"",""กาญจนบุรี!I405"")"),0)</f>
        <v>0</v>
      </c>
      <c r="J510" s="198">
        <f ca="1">IFERROR(__xludf.DUMMYFUNCTION("IMPORTRANGE(""https://docs.google.com/spreadsheets/d/1SX6NBoVAgQJ6U1MVXOaj8PK2l7WJ3RER9xtqwdhxkhw/edit?usp=sharing"",""กาญจนบุรี!J405"")"),0)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IFERROR(__xludf.DUMMYFUNCTION("IMPORTRANGE(""https://docs.google.com/spreadsheets/d/1SX6NBoVAgQJ6U1MVXOaj8PK2l7WJ3RER9xtqwdhxkhw/edit?usp=sharing"",""กาญจนบุรี!I406"")"),0)</f>
        <v>0</v>
      </c>
      <c r="J511" s="198">
        <f ca="1">IFERROR(__xludf.DUMMYFUNCTION("IMPORTRANGE(""https://docs.google.com/spreadsheets/d/1SX6NBoVAgQJ6U1MVXOaj8PK2l7WJ3RER9xtqwdhxkhw/edit?usp=sharing"",""กาญจนบุรี!J406"")"),0)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IFERROR(__xludf.DUMMYFUNCTION("IMPORTRANGE(""https://docs.google.com/spreadsheets/d/1SX6NBoVAgQJ6U1MVXOaj8PK2l7WJ3RER9xtqwdhxkhw/edit?usp=sharing"",""กาญจนบุรี!I407"")"),0)</f>
        <v>0</v>
      </c>
      <c r="J512" s="198">
        <f ca="1">IFERROR(__xludf.DUMMYFUNCTION("IMPORTRANGE(""https://docs.google.com/spreadsheets/d/1SX6NBoVAgQJ6U1MVXOaj8PK2l7WJ3RER9xtqwdhxkhw/edit?usp=sharing"",""กาญจนบุรี!J407"")"),0)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IFERROR(__xludf.DUMMYFUNCTION("IMPORTRANGE(""https://docs.google.com/spreadsheets/d/1SX6NBoVAgQJ6U1MVXOaj8PK2l7WJ3RER9xtqwdhxkhw/edit?usp=sharing"",""กาญจนบุรี!I408"")"),0)</f>
        <v>0</v>
      </c>
      <c r="J513" s="198">
        <f ca="1">IFERROR(__xludf.DUMMYFUNCTION("IMPORTRANGE(""https://docs.google.com/spreadsheets/d/1SX6NBoVAgQJ6U1MVXOaj8PK2l7WJ3RER9xtqwdhxkhw/edit?usp=sharing"",""กาญจนบุรี!J408"")"),0)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IFERROR(__xludf.DUMMYFUNCTION("IMPORTRANGE(""https://docs.google.com/spreadsheets/d/1SX6NBoVAgQJ6U1MVXOaj8PK2l7WJ3RER9xtqwdhxkhw/edit?usp=sharing"",""กาญจนบุรี!I409"")"),0)</f>
        <v>0</v>
      </c>
      <c r="J514" s="198">
        <f ca="1">IFERROR(__xludf.DUMMYFUNCTION("IMPORTRANGE(""https://docs.google.com/spreadsheets/d/1SX6NBoVAgQJ6U1MVXOaj8PK2l7WJ3RER9xtqwdhxkhw/edit?usp=sharing"",""กาญจนบุรี!J409"")"),0)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IFERROR(__xludf.DUMMYFUNCTION("IMPORTRANGE(""https://docs.google.com/spreadsheets/d/1SX6NBoVAgQJ6U1MVXOaj8PK2l7WJ3RER9xtqwdhxkhw/edit?usp=sharing"",""กาญจนบุรี!I410"")"),0)</f>
        <v>0</v>
      </c>
      <c r="J515" s="198">
        <f ca="1">IFERROR(__xludf.DUMMYFUNCTION("IMPORTRANGE(""https://docs.google.com/spreadsheets/d/1SX6NBoVAgQJ6U1MVXOaj8PK2l7WJ3RER9xtqwdhxkhw/edit?usp=sharing"",""กาญจนบุรี!J410"")"),0)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IFERROR(__xludf.DUMMYFUNCTION("IMPORTRANGE(""https://docs.google.com/spreadsheets/d/1SX6NBoVAgQJ6U1MVXOaj8PK2l7WJ3RER9xtqwdhxkhw/edit?usp=sharing"",""กาญจนบุรี!I411"")"),0)</f>
        <v>0</v>
      </c>
      <c r="J516" s="267">
        <f ca="1">IFERROR(__xludf.DUMMYFUNCTION("IMPORTRANGE(""https://docs.google.com/spreadsheets/d/1SX6NBoVAgQJ6U1MVXOaj8PK2l7WJ3RER9xtqwdhxkhw/edit?usp=sharing"",""กาญจนบุรี!J411"")"),0)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IFERROR(__xludf.DUMMYFUNCTION("IMPORTRANGE(""https://docs.google.com/spreadsheets/d/1SX6NBoVAgQJ6U1MVXOaj8PK2l7WJ3RER9xtqwdhxkhw/edit?usp=sharing"",""กาญจนบุรี!I412"")"),0)</f>
        <v>0</v>
      </c>
      <c r="J517" s="284">
        <f ca="1">IFERROR(__xludf.DUMMYFUNCTION("IMPORTRANGE(""https://docs.google.com/spreadsheets/d/1SX6NBoVAgQJ6U1MVXOaj8PK2l7WJ3RER9xtqwdhxkhw/edit?usp=sharing"",""กาญจนบุรี!J412"")"),0)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IFERROR(__xludf.DUMMYFUNCTION("IMPORTRANGE(""https://docs.google.com/spreadsheets/d/1SX6NBoVAgQJ6U1MVXOaj8PK2l7WJ3RER9xtqwdhxkhw/edit?usp=sharing"",""กาญจนบุรี!I413"")"),0)</f>
        <v>0</v>
      </c>
      <c r="J518" s="284">
        <f ca="1">IFERROR(__xludf.DUMMYFUNCTION("IMPORTRANGE(""https://docs.google.com/spreadsheets/d/1SX6NBoVAgQJ6U1MVXOaj8PK2l7WJ3RER9xtqwdhxkhw/edit?usp=sharing"",""กาญจนบุรี!J413"")"),0)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IFERROR(__xludf.DUMMYFUNCTION("IMPORTRANGE(""https://docs.google.com/spreadsheets/d/1SX6NBoVAgQJ6U1MVXOaj8PK2l7WJ3RER9xtqwdhxkhw/edit?usp=sharing"",""กาญจนบุรี!I414"")"),0)</f>
        <v>0</v>
      </c>
      <c r="J519" s="188">
        <f ca="1">IFERROR(__xludf.DUMMYFUNCTION("IMPORTRANGE(""https://docs.google.com/spreadsheets/d/1SX6NBoVAgQJ6U1MVXOaj8PK2l7WJ3RER9xtqwdhxkhw/edit?usp=sharing"",""กาญจนบุรี!J414"")"),0)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IFERROR(__xludf.DUMMYFUNCTION("IMPORTRANGE(""https://docs.google.com/spreadsheets/d/1SX6NBoVAgQJ6U1MVXOaj8PK2l7WJ3RER9xtqwdhxkhw/edit?usp=sharing"",""กาญจนบุรี!I415"")"),0)</f>
        <v>0</v>
      </c>
      <c r="J520" s="188">
        <f ca="1">IFERROR(__xludf.DUMMYFUNCTION("IMPORTRANGE(""https://docs.google.com/spreadsheets/d/1SX6NBoVAgQJ6U1MVXOaj8PK2l7WJ3RER9xtqwdhxkhw/edit?usp=sharing"",""กาญจนบุรี!J415"")"),0)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IFERROR(__xludf.DUMMYFUNCTION("IMPORTRANGE(""https://docs.google.com/spreadsheets/d/1SX6NBoVAgQJ6U1MVXOaj8PK2l7WJ3RER9xtqwdhxkhw/edit?usp=sharing"",""กาญจนบุรี!I416"")"),0)</f>
        <v>0</v>
      </c>
      <c r="J521" s="188">
        <f ca="1">IFERROR(__xludf.DUMMYFUNCTION("IMPORTRANGE(""https://docs.google.com/spreadsheets/d/1SX6NBoVAgQJ6U1MVXOaj8PK2l7WJ3RER9xtqwdhxkhw/edit?usp=sharing"",""กาญจนบุรี!J416"")"),0)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IFERROR(__xludf.DUMMYFUNCTION("IMPORTRANGE(""https://docs.google.com/spreadsheets/d/1SX6NBoVAgQJ6U1MVXOaj8PK2l7WJ3RER9xtqwdhxkhw/edit?usp=sharing"",""กาญจนบุรี!I417"")"),0)</f>
        <v>0</v>
      </c>
      <c r="J522" s="188">
        <f ca="1">IFERROR(__xludf.DUMMYFUNCTION("IMPORTRANGE(""https://docs.google.com/spreadsheets/d/1SX6NBoVAgQJ6U1MVXOaj8PK2l7WJ3RER9xtqwdhxkhw/edit?usp=sharing"",""กาญจนบุรี!J417"")"),0)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IFERROR(__xludf.DUMMYFUNCTION("IMPORTRANGE(""https://docs.google.com/spreadsheets/d/1SX6NBoVAgQJ6U1MVXOaj8PK2l7WJ3RER9xtqwdhxkhw/edit?usp=sharing"",""กาญจนบุรี!I418"")"),0)</f>
        <v>0</v>
      </c>
      <c r="J523" s="188">
        <f ca="1">IFERROR(__xludf.DUMMYFUNCTION("IMPORTRANGE(""https://docs.google.com/spreadsheets/d/1SX6NBoVAgQJ6U1MVXOaj8PK2l7WJ3RER9xtqwdhxkhw/edit?usp=sharing"",""กาญจนบุรี!J418"")"),988)</f>
        <v>988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IFERROR(__xludf.DUMMYFUNCTION("IMPORTRANGE(""https://docs.google.com/spreadsheets/d/1SX6NBoVAgQJ6U1MVXOaj8PK2l7WJ3RER9xtqwdhxkhw/edit?usp=sharing"",""กาญจนบุรี!I419"")"),0)</f>
        <v>0</v>
      </c>
      <c r="J524" s="188">
        <f ca="1">IFERROR(__xludf.DUMMYFUNCTION("IMPORTRANGE(""https://docs.google.com/spreadsheets/d/1SX6NBoVAgQJ6U1MVXOaj8PK2l7WJ3RER9xtqwdhxkhw/edit?usp=sharing"",""กาญจนบุรี!J419"")"),56)</f>
        <v>56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IFERROR(__xludf.DUMMYFUNCTION("IMPORTRANGE(""https://docs.google.com/spreadsheets/d/1SX6NBoVAgQJ6U1MVXOaj8PK2l7WJ3RER9xtqwdhxkhw/edit?usp=sharing"",""กาญจนบุรี!I420"")"),988)</f>
        <v>988</v>
      </c>
      <c r="J525" s="284">
        <f ca="1">IFERROR(__xludf.DUMMYFUNCTION("IMPORTRANGE(""https://docs.google.com/spreadsheets/d/1SX6NBoVAgQJ6U1MVXOaj8PK2l7WJ3RER9xtqwdhxkhw/edit?usp=sharing"",""กาญจนบุรี!J420"")"),0)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IFERROR(__xludf.DUMMYFUNCTION("IMPORTRANGE(""https://docs.google.com/spreadsheets/d/1SX6NBoVAgQJ6U1MVXOaj8PK2l7WJ3RER9xtqwdhxkhw/edit?usp=sharing"",""กาญจนบุรี!I421"")"),56)</f>
        <v>56</v>
      </c>
      <c r="J526" s="284">
        <f ca="1">IFERROR(__xludf.DUMMYFUNCTION("IMPORTRANGE(""https://docs.google.com/spreadsheets/d/1SX6NBoVAgQJ6U1MVXOaj8PK2l7WJ3RER9xtqwdhxkhw/edit?usp=sharing"",""กาญจนบุรี!J421"")"),0)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IFERROR(__xludf.DUMMYFUNCTION("IMPORTRANGE(""https://docs.google.com/spreadsheets/d/1SX6NBoVAgQJ6U1MVXOaj8PK2l7WJ3RER9xtqwdhxkhw/edit?usp=sharing"",""กาญจนบุรี!I422"")"),0)</f>
        <v>0</v>
      </c>
      <c r="J527" s="198">
        <f ca="1">IFERROR(__xludf.DUMMYFUNCTION("IMPORTRANGE(""https://docs.google.com/spreadsheets/d/1SX6NBoVAgQJ6U1MVXOaj8PK2l7WJ3RER9xtqwdhxkhw/edit?usp=sharing"",""กาญจนบุรี!J422"")"),0)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IFERROR(__xludf.DUMMYFUNCTION("IMPORTRANGE(""https://docs.google.com/spreadsheets/d/1SX6NBoVAgQJ6U1MVXOaj8PK2l7WJ3RER9xtqwdhxkhw/edit?usp=sharing"",""กาญจนบุรี!I423"")"),0)</f>
        <v>0</v>
      </c>
      <c r="J528" s="198">
        <f ca="1">IFERROR(__xludf.DUMMYFUNCTION("IMPORTRANGE(""https://docs.google.com/spreadsheets/d/1SX6NBoVAgQJ6U1MVXOaj8PK2l7WJ3RER9xtqwdhxkhw/edit?usp=sharing"",""กาญจนบุรี!J423"")"),0)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IFERROR(__xludf.DUMMYFUNCTION("IMPORTRANGE(""https://docs.google.com/spreadsheets/d/1SX6NBoVAgQJ6U1MVXOaj8PK2l7WJ3RER9xtqwdhxkhw/edit?usp=sharing"",""กาญจนบุรี!I424"")"),0)</f>
        <v>0</v>
      </c>
      <c r="J529" s="198">
        <f ca="1">IFERROR(__xludf.DUMMYFUNCTION("IMPORTRANGE(""https://docs.google.com/spreadsheets/d/1SX6NBoVAgQJ6U1MVXOaj8PK2l7WJ3RER9xtqwdhxkhw/edit?usp=sharing"",""กาญจนบุรี!J424"")"),0)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IFERROR(__xludf.DUMMYFUNCTION("IMPORTRANGE(""https://docs.google.com/spreadsheets/d/1SX6NBoVAgQJ6U1MVXOaj8PK2l7WJ3RER9xtqwdhxkhw/edit?usp=sharing"",""กาญจนบุรี!I425"")"),0)</f>
        <v>0</v>
      </c>
      <c r="J530" s="198">
        <f ca="1">IFERROR(__xludf.DUMMYFUNCTION("IMPORTRANGE(""https://docs.google.com/spreadsheets/d/1SX6NBoVAgQJ6U1MVXOaj8PK2l7WJ3RER9xtqwdhxkhw/edit?usp=sharing"",""กาญจนบุรี!J425"")"),0)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IFERROR(__xludf.DUMMYFUNCTION("IMPORTRANGE(""https://docs.google.com/spreadsheets/d/1SX6NBoVAgQJ6U1MVXOaj8PK2l7WJ3RER9xtqwdhxkhw/edit?usp=sharing"",""กาญจนบุรี!I426"")"),0)</f>
        <v>0</v>
      </c>
      <c r="J531" s="198">
        <f ca="1">IFERROR(__xludf.DUMMYFUNCTION("IMPORTRANGE(""https://docs.google.com/spreadsheets/d/1SX6NBoVAgQJ6U1MVXOaj8PK2l7WJ3RER9xtqwdhxkhw/edit?usp=sharing"",""กาญจนบุรี!J426"")"),0)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IFERROR(__xludf.DUMMYFUNCTION("IMPORTRANGE(""https://docs.google.com/spreadsheets/d/1SX6NBoVAgQJ6U1MVXOaj8PK2l7WJ3RER9xtqwdhxkhw/edit?usp=sharing"",""กาญจนบุรี!I427"")"),0)</f>
        <v>0</v>
      </c>
      <c r="J532" s="466">
        <f ca="1">IFERROR(__xludf.DUMMYFUNCTION("IMPORTRANGE(""https://docs.google.com/spreadsheets/d/1SX6NBoVAgQJ6U1MVXOaj8PK2l7WJ3RER9xtqwdhxkhw/edit?usp=sharing"",""กาญจนบุรี!J427"")"),0)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IFERROR(__xludf.DUMMYFUNCTION("IMPORTRANGE(""https://docs.google.com/spreadsheets/d/1SX6NBoVAgQJ6U1MVXOaj8PK2l7WJ3RER9xtqwdhxkhw/edit?usp=sharing"",""กาญจนบุรี!I428"")"),28)</f>
        <v>28</v>
      </c>
      <c r="J533" s="410">
        <f ca="1">IFERROR(__xludf.DUMMYFUNCTION("IMPORTRANGE(""https://docs.google.com/spreadsheets/d/1SX6NBoVAgQJ6U1MVXOaj8PK2l7WJ3RER9xtqwdhxkhw/edit?usp=sharing"",""กาญจนบุรี!J428"")"),25)</f>
        <v>25</v>
      </c>
      <c r="K533" s="411">
        <f ca="1">IF(I533&gt;0,J533*100/I533,0)</f>
        <v>89.285714285714292</v>
      </c>
      <c r="L533" s="412">
        <f ca="1">IFERROR(__xludf.DUMMYFUNCTION("IMPORTRANGE(""https://docs.google.com/spreadsheets/d/1SX6NBoVAgQJ6U1MVXOaj8PK2l7WJ3RER9xtqwdhxkhw/edit?usp=sharing"",""กาญจนบุรี!L428"")"),39440)</f>
        <v>39440</v>
      </c>
      <c r="M533" s="412"/>
      <c r="N533" s="412">
        <f ca="1">IFERROR(__xludf.DUMMYFUNCTION("IMPORTRANGE(""https://docs.google.com/spreadsheets/d/1SX6NBoVAgQJ6U1MVXOaj8PK2l7WJ3RER9xtqwdhxkhw/edit?usp=sharing"",""กาญจนบุรี!M428"")"),21310)</f>
        <v>21310</v>
      </c>
      <c r="O533" s="412">
        <f t="shared" ref="O533:O537" ca="1" si="118">+IF(L533&gt;0,N533*100/L533,0)</f>
        <v>54.031440162271807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IFERROR(__xludf.DUMMYFUNCTION("IMPORTRANGE(""https://docs.google.com/spreadsheets/d/1SX6NBoVAgQJ6U1MVXOaj8PK2l7WJ3RER9xtqwdhxkhw/edit?usp=sharing"",""กาญจนบุรี!L429"")"),0)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IFERROR(__xludf.DUMMYFUNCTION("IMPORTRANGE(""https://docs.google.com/spreadsheets/d/1SX6NBoVAgQJ6U1MVXOaj8PK2l7WJ3RER9xtqwdhxkhw/edit?usp=sharing"",""กาญจนบุรี!M429"")"),0)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IFERROR(__xludf.DUMMYFUNCTION("IMPORTRANGE(""https://docs.google.com/spreadsheets/d/1SX6NBoVAgQJ6U1MVXOaj8PK2l7WJ3RER9xtqwdhxkhw/edit?usp=sharing"",""กาญจนบุรี!L430"")"),39440)</f>
        <v>39440</v>
      </c>
      <c r="M535" s="165"/>
      <c r="N535" s="169">
        <f ca="1">IFERROR(__xludf.DUMMYFUNCTION("IMPORTRANGE(""https://docs.google.com/spreadsheets/d/1SX6NBoVAgQJ6U1MVXOaj8PK2l7WJ3RER9xtqwdhxkhw/edit?usp=sharing"",""กาญจนบุรี!M430"")"),21310)</f>
        <v>21310</v>
      </c>
      <c r="O535" s="169">
        <f t="shared" ca="1" si="118"/>
        <v>54.031440162271807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IFERROR(__xludf.DUMMYFUNCTION("IMPORTRANGE(""https://docs.google.com/spreadsheets/d/1SX6NBoVAgQJ6U1MVXOaj8PK2l7WJ3RER9xtqwdhxkhw/edit?usp=sharing"",""กาญจนบุรี!L431"")"),0)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IFERROR(__xludf.DUMMYFUNCTION("IMPORTRANGE(""https://docs.google.com/spreadsheets/d/1SX6NBoVAgQJ6U1MVXOaj8PK2l7WJ3RER9xtqwdhxkhw/edit?usp=sharing"",""กาญจนบุรี!M431"")"),0)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IFERROR(__xludf.DUMMYFUNCTION("IMPORTRANGE(""https://docs.google.com/spreadsheets/d/1SX6NBoVAgQJ6U1MVXOaj8PK2l7WJ3RER9xtqwdhxkhw/edit?usp=sharing"",""กาญจนบุรี!L432"")"),39440)</f>
        <v>39440</v>
      </c>
      <c r="M537" s="169"/>
      <c r="N537" s="169">
        <f ca="1">IFERROR(__xludf.DUMMYFUNCTION("IMPORTRANGE(""https://docs.google.com/spreadsheets/d/1SX6NBoVAgQJ6U1MVXOaj8PK2l7WJ3RER9xtqwdhxkhw/edit?usp=sharing"",""กาญจนบุรี!M432"")"),21310)</f>
        <v>21310</v>
      </c>
      <c r="O537" s="169">
        <f t="shared" ca="1" si="118"/>
        <v>54.031440162271807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IFERROR(__xludf.DUMMYFUNCTION("IMPORTRANGE(""https://docs.google.com/spreadsheets/d/1SX6NBoVAgQJ6U1MVXOaj8PK2l7WJ3RER9xtqwdhxkhw/edit?usp=sharing"",""กาญจนบุรี!M433"")"),21310)</f>
        <v>21310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IFERROR(__xludf.DUMMYFUNCTION("IMPORTRANGE(""https://docs.google.com/spreadsheets/d/1SX6NBoVAgQJ6U1MVXOaj8PK2l7WJ3RER9xtqwdhxkhw/edit?usp=sharing"",""กาญจนบุรี!M434"")"),0)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IFERROR(__xludf.DUMMYFUNCTION("IMPORTRANGE(""https://docs.google.com/spreadsheets/d/1SX6NBoVAgQJ6U1MVXOaj8PK2l7WJ3RER9xtqwdhxkhw/edit?usp=sharing"",""กาญจนบุรี!M435"")"),0)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IFERROR(__xludf.DUMMYFUNCTION("IMPORTRANGE(""https://docs.google.com/spreadsheets/d/1SX6NBoVAgQJ6U1MVXOaj8PK2l7WJ3RER9xtqwdhxkhw/edit?usp=sharing"",""กาญจนบุรี!M436"")"),0)</f>
        <v>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IFERROR(__xludf.DUMMYFUNCTION("IMPORTRANGE(""https://docs.google.com/spreadsheets/d/1SX6NBoVAgQJ6U1MVXOaj8PK2l7WJ3RER9xtqwdhxkhw/edit?usp=sharing"",""กาญจนบุรี!J438"")"),0)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IFERROR(__xludf.DUMMYFUNCTION("IMPORTRANGE(""https://docs.google.com/spreadsheets/d/1SX6NBoVAgQJ6U1MVXOaj8PK2l7WJ3RER9xtqwdhxkhw/edit?usp=sharing"",""กาญจนบุรี!J439"")"),1)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IFERROR(__xludf.DUMMYFUNCTION("IMPORTRANGE(""https://docs.google.com/spreadsheets/d/1SX6NBoVAgQJ6U1MVXOaj8PK2l7WJ3RER9xtqwdhxkhw/edit?usp=sharing"",""กาญจนบุรี!J440"")"),1)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IFERROR(__xludf.DUMMYFUNCTION("IMPORTRANGE(""https://docs.google.com/spreadsheets/d/1SX6NBoVAgQJ6U1MVXOaj8PK2l7WJ3RER9xtqwdhxkhw/edit?usp=sharing"",""กาญจนบุรี!J441"")"),1)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IFERROR(__xludf.DUMMYFUNCTION("IMPORTRANGE(""https://docs.google.com/spreadsheets/d/1SX6NBoVAgQJ6U1MVXOaj8PK2l7WJ3RER9xtqwdhxkhw/edit?usp=sharing"",""กาญจนบุรี!I442"")"),28)</f>
        <v>28</v>
      </c>
      <c r="J547" s="189">
        <f ca="1">IFERROR(__xludf.DUMMYFUNCTION("IMPORTRANGE(""https://docs.google.com/spreadsheets/d/1SX6NBoVAgQJ6U1MVXOaj8PK2l7WJ3RER9xtqwdhxkhw/edit?usp=sharing"",""กาญจนบุรี!J442"")"),25)</f>
        <v>25</v>
      </c>
      <c r="K547" s="163">
        <f t="shared" ref="K547:K548" ca="1" si="119">IF(I547&gt;0,J547*100/I547,0)</f>
        <v>89.285714285714292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IFERROR(__xludf.DUMMYFUNCTION("IMPORTRANGE(""https://docs.google.com/spreadsheets/d/1SX6NBoVAgQJ6U1MVXOaj8PK2l7WJ3RER9xtqwdhxkhw/edit?usp=sharing"",""กาญจนบุรี!J166"")"),0)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IFERROR(__xludf.DUMMYFUNCTION("IMPORTRANGE(""https://docs.google.com/spreadsheets/d/1SX6NBoVAgQJ6U1MVXOaj8PK2l7WJ3RER9xtqwdhxkhw/edit?usp=sharing"",""กาญจนบุรี!J444"")"),0)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IFERROR(__xludf.DUMMYFUNCTION("IMPORTRANGE(""https://docs.google.com/spreadsheets/d/1SX6NBoVAgQJ6U1MVXOaj8PK2l7WJ3RER9xtqwdhxkhw/edit?usp=sharing"",""กาญจนบุรี!J445"")"),0)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IFERROR(__xludf.DUMMYFUNCTION("IMPORTRANGE(""https://docs.google.com/spreadsheets/d/1SX6NBoVAgQJ6U1MVXOaj8PK2l7WJ3RER9xtqwdhxkhw/edit?usp=sharing"",""กาญจนบุรี!I446"")"),3000)</f>
        <v>3000</v>
      </c>
      <c r="J551" s="410">
        <f ca="1">IFERROR(__xludf.DUMMYFUNCTION("IMPORTRANGE(""https://docs.google.com/spreadsheets/d/1SX6NBoVAgQJ6U1MVXOaj8PK2l7WJ3RER9xtqwdhxkhw/edit?usp=sharing"",""กาญจนบุรี!J446"")"),0)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IFERROR(__xludf.DUMMYFUNCTION("IMPORTRANGE(""https://docs.google.com/spreadsheets/d/1SX6NBoVAgQJ6U1MVXOaj8PK2l7WJ3RER9xtqwdhxkhw/edit?usp=sharing"",""กาญจนบุรี!L446"")"),198000)</f>
        <v>198000</v>
      </c>
      <c r="M551" s="412"/>
      <c r="N551" s="412">
        <f ca="1">IFERROR(__xludf.DUMMYFUNCTION("IMPORTRANGE(""https://docs.google.com/spreadsheets/d/1SX6NBoVAgQJ6U1MVXOaj8PK2l7WJ3RER9xtqwdhxkhw/edit?usp=sharing"",""กาญจนบุรี!M446"")"),52345)</f>
        <v>52345</v>
      </c>
      <c r="O551" s="412">
        <f t="shared" ref="O551:O555" ca="1" si="120">+IF(L551&gt;0,N551*100/L551,0)</f>
        <v>26.436868686868689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IFERROR(__xludf.DUMMYFUNCTION("IMPORTRANGE(""https://docs.google.com/spreadsheets/d/1SX6NBoVAgQJ6U1MVXOaj8PK2l7WJ3RER9xtqwdhxkhw/edit?usp=sharing"",""กาญจนบุรี!L447"")"),0)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IFERROR(__xludf.DUMMYFUNCTION("IMPORTRANGE(""https://docs.google.com/spreadsheets/d/1SX6NBoVAgQJ6U1MVXOaj8PK2l7WJ3RER9xtqwdhxkhw/edit?usp=sharing"",""กาญจนบุรี!M447"")"),0)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IFERROR(__xludf.DUMMYFUNCTION("IMPORTRANGE(""https://docs.google.com/spreadsheets/d/1SX6NBoVAgQJ6U1MVXOaj8PK2l7WJ3RER9xtqwdhxkhw/edit?usp=sharing"",""กาญจนบุรี!L448"")"),198000)</f>
        <v>198000</v>
      </c>
      <c r="M553" s="165"/>
      <c r="N553" s="169">
        <f ca="1">IFERROR(__xludf.DUMMYFUNCTION("IMPORTRANGE(""https://docs.google.com/spreadsheets/d/1SX6NBoVAgQJ6U1MVXOaj8PK2l7WJ3RER9xtqwdhxkhw/edit?usp=sharing"",""กาญจนบุรี!M448"")"),52345)</f>
        <v>52345</v>
      </c>
      <c r="O553" s="169">
        <f t="shared" ca="1" si="120"/>
        <v>26.436868686868689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IFERROR(__xludf.DUMMYFUNCTION("IMPORTRANGE(""https://docs.google.com/spreadsheets/d/1SX6NBoVAgQJ6U1MVXOaj8PK2l7WJ3RER9xtqwdhxkhw/edit?usp=sharing"",""กาญจนบุรี!L449"")"),0)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IFERROR(__xludf.DUMMYFUNCTION("IMPORTRANGE(""https://docs.google.com/spreadsheets/d/1SX6NBoVAgQJ6U1MVXOaj8PK2l7WJ3RER9xtqwdhxkhw/edit?usp=sharing"",""กาญจนบุรี!M449"")"),0)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IFERROR(__xludf.DUMMYFUNCTION("IMPORTRANGE(""https://docs.google.com/spreadsheets/d/1SX6NBoVAgQJ6U1MVXOaj8PK2l7WJ3RER9xtqwdhxkhw/edit?usp=sharing"",""กาญจนบุรี!L450"")"),198000)</f>
        <v>198000</v>
      </c>
      <c r="M555" s="169"/>
      <c r="N555" s="169">
        <f ca="1">IFERROR(__xludf.DUMMYFUNCTION("IMPORTRANGE(""https://docs.google.com/spreadsheets/d/1SX6NBoVAgQJ6U1MVXOaj8PK2l7WJ3RER9xtqwdhxkhw/edit?usp=sharing"",""กาญจนบุรี!M450"")"),52345)</f>
        <v>52345</v>
      </c>
      <c r="O555" s="169">
        <f t="shared" ca="1" si="120"/>
        <v>26.436868686868689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IFERROR(__xludf.DUMMYFUNCTION("IMPORTRANGE(""https://docs.google.com/spreadsheets/d/1SX6NBoVAgQJ6U1MVXOaj8PK2l7WJ3RER9xtqwdhxkhw/edit?usp=sharing"",""กาญจนบุรี!M451"")"),0)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IFERROR(__xludf.DUMMYFUNCTION("IMPORTRANGE(""https://docs.google.com/spreadsheets/d/1SX6NBoVAgQJ6U1MVXOaj8PK2l7WJ3RER9xtqwdhxkhw/edit?usp=sharing"",""กาญจนบุรี!M452"")"),0)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IFERROR(__xludf.DUMMYFUNCTION("IMPORTRANGE(""https://docs.google.com/spreadsheets/d/1SX6NBoVAgQJ6U1MVXOaj8PK2l7WJ3RER9xtqwdhxkhw/edit?usp=sharing"",""กาญจนบุรี!M453"")"),0)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IFERROR(__xludf.DUMMYFUNCTION("IMPORTRANGE(""https://docs.google.com/spreadsheets/d/1SX6NBoVAgQJ6U1MVXOaj8PK2l7WJ3RER9xtqwdhxkhw/edit?usp=sharing"",""กาญจนบุรี!M454"")"),52345)</f>
        <v>52345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IFERROR(__xludf.DUMMYFUNCTION("IMPORTRANGE(""https://docs.google.com/spreadsheets/d/1SX6NBoVAgQJ6U1MVXOaj8PK2l7WJ3RER9xtqwdhxkhw/edit?usp=sharing"",""กาญจนบุรี!I455"")"),3000)</f>
        <v>3000</v>
      </c>
      <c r="J560" s="162">
        <f ca="1">IFERROR(__xludf.DUMMYFUNCTION("IMPORTRANGE(""https://docs.google.com/spreadsheets/d/1SX6NBoVAgQJ6U1MVXOaj8PK2l7WJ3RER9xtqwdhxkhw/edit?usp=sharing"",""กาญจนบุรี!J455"")"),0)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IFERROR(__xludf.DUMMYFUNCTION("IMPORTRANGE(""https://docs.google.com/spreadsheets/d/1SX6NBoVAgQJ6U1MVXOaj8PK2l7WJ3RER9xtqwdhxkhw/edit?usp=sharing"",""กาญจนบุรี!I456"")"),0)</f>
        <v>0</v>
      </c>
      <c r="J561" s="204">
        <f ca="1">IFERROR(__xludf.DUMMYFUNCTION("IMPORTRANGE(""https://docs.google.com/spreadsheets/d/1SX6NBoVAgQJ6U1MVXOaj8PK2l7WJ3RER9xtqwdhxkhw/edit?usp=sharing"",""กาญจนบุรี!J456"")"),0)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IFERROR(__xludf.DUMMYFUNCTION("IMPORTRANGE(""https://docs.google.com/spreadsheets/d/1SX6NBoVAgQJ6U1MVXOaj8PK2l7WJ3RER9xtqwdhxkhw/edit?usp=sharing"",""กาญจนบุรี!I459"")"),1900)</f>
        <v>1900</v>
      </c>
      <c r="J564" s="371">
        <f ca="1">IFERROR(__xludf.DUMMYFUNCTION("IMPORTRANGE(""https://docs.google.com/spreadsheets/d/1SX6NBoVAgQJ6U1MVXOaj8PK2l7WJ3RER9xtqwdhxkhw/edit?usp=sharing"",""กาญจนบุรี!J459"")"),1457)</f>
        <v>1457</v>
      </c>
      <c r="K564" s="372">
        <f ca="1">IF(I564&gt;0,J564*100/I564,0)</f>
        <v>76.684210526315795</v>
      </c>
      <c r="L564" s="373">
        <f ca="1">IFERROR(__xludf.DUMMYFUNCTION("IMPORTRANGE(""https://docs.google.com/spreadsheets/d/1SX6NBoVAgQJ6U1MVXOaj8PK2l7WJ3RER9xtqwdhxkhw/edit?usp=sharing"",""กาญจนบุรี!L459"")"),138000)</f>
        <v>138000</v>
      </c>
      <c r="M564" s="373"/>
      <c r="N564" s="373">
        <f ca="1">IFERROR(__xludf.DUMMYFUNCTION("IMPORTRANGE(""https://docs.google.com/spreadsheets/d/1SX6NBoVAgQJ6U1MVXOaj8PK2l7WJ3RER9xtqwdhxkhw/edit?usp=sharing"",""กาญจนบุรี!M459"")"),85709)</f>
        <v>85709</v>
      </c>
      <c r="O564" s="373">
        <f t="shared" ref="O564:O568" ca="1" si="122">+IF(L564&gt;0,N564*100/L564,0)</f>
        <v>62.107971014492755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IFERROR(__xludf.DUMMYFUNCTION("IMPORTRANGE(""https://docs.google.com/spreadsheets/d/1SX6NBoVAgQJ6U1MVXOaj8PK2l7WJ3RER9xtqwdhxkhw/edit?usp=sharing"",""กาญจนบุรี!L460"")"),0)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IFERROR(__xludf.DUMMYFUNCTION("IMPORTRANGE(""https://docs.google.com/spreadsheets/d/1SX6NBoVAgQJ6U1MVXOaj8PK2l7WJ3RER9xtqwdhxkhw/edit?usp=sharing"",""กาญจนบุรี!M460"")"),0)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IFERROR(__xludf.DUMMYFUNCTION("IMPORTRANGE(""https://docs.google.com/spreadsheets/d/1SX6NBoVAgQJ6U1MVXOaj8PK2l7WJ3RER9xtqwdhxkhw/edit?usp=sharing"",""กาญจนบุรี!L461"")"),138000)</f>
        <v>138000</v>
      </c>
      <c r="M566" s="165"/>
      <c r="N566" s="169">
        <f ca="1">IFERROR(__xludf.DUMMYFUNCTION("IMPORTRANGE(""https://docs.google.com/spreadsheets/d/1SX6NBoVAgQJ6U1MVXOaj8PK2l7WJ3RER9xtqwdhxkhw/edit?usp=sharing"",""กาญจนบุรี!M461"")"),85709)</f>
        <v>85709</v>
      </c>
      <c r="O566" s="169">
        <f t="shared" ca="1" si="122"/>
        <v>62.107971014492755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IFERROR(__xludf.DUMMYFUNCTION("IMPORTRANGE(""https://docs.google.com/spreadsheets/d/1SX6NBoVAgQJ6U1MVXOaj8PK2l7WJ3RER9xtqwdhxkhw/edit?usp=sharing"",""กาญจนบุรี!L462"")"),0)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IFERROR(__xludf.DUMMYFUNCTION("IMPORTRANGE(""https://docs.google.com/spreadsheets/d/1SX6NBoVAgQJ6U1MVXOaj8PK2l7WJ3RER9xtqwdhxkhw/edit?usp=sharing"",""กาญจนบุรี!M462"")"),0)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IFERROR(__xludf.DUMMYFUNCTION("IMPORTRANGE(""https://docs.google.com/spreadsheets/d/1SX6NBoVAgQJ6U1MVXOaj8PK2l7WJ3RER9xtqwdhxkhw/edit?usp=sharing"",""กาญจนบุรี!L463"")"),138000)</f>
        <v>138000</v>
      </c>
      <c r="M568" s="169"/>
      <c r="N568" s="169">
        <f ca="1">IFERROR(__xludf.DUMMYFUNCTION("IMPORTRANGE(""https://docs.google.com/spreadsheets/d/1SX6NBoVAgQJ6U1MVXOaj8PK2l7WJ3RER9xtqwdhxkhw/edit?usp=sharing"",""กาญจนบุรี!M463"")"),85709)</f>
        <v>85709</v>
      </c>
      <c r="O568" s="169">
        <f t="shared" ca="1" si="122"/>
        <v>62.107971014492755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IFERROR(__xludf.DUMMYFUNCTION("IMPORTRANGE(""https://docs.google.com/spreadsheets/d/1SX6NBoVAgQJ6U1MVXOaj8PK2l7WJ3RER9xtqwdhxkhw/edit?usp=sharing"",""กาญจนบุรี!M464"")"),0)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IFERROR(__xludf.DUMMYFUNCTION("IMPORTRANGE(""https://docs.google.com/spreadsheets/d/1SX6NBoVAgQJ6U1MVXOaj8PK2l7WJ3RER9xtqwdhxkhw/edit?usp=sharing"",""กาญจนบุรี!M465"")"),0)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IFERROR(__xludf.DUMMYFUNCTION("IMPORTRANGE(""https://docs.google.com/spreadsheets/d/1SX6NBoVAgQJ6U1MVXOaj8PK2l7WJ3RER9xtqwdhxkhw/edit?usp=sharing"",""กาญจนบุรี!M466"")"),64909)</f>
        <v>64909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IFERROR(__xludf.DUMMYFUNCTION("IMPORTRANGE(""https://docs.google.com/spreadsheets/d/1SX6NBoVAgQJ6U1MVXOaj8PK2l7WJ3RER9xtqwdhxkhw/edit?usp=sharing"",""กาญจนบุรี!M467"")"),20800)</f>
        <v>20800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IFERROR(__xludf.DUMMYFUNCTION("IMPORTRANGE(""https://docs.google.com/spreadsheets/d/1SX6NBoVAgQJ6U1MVXOaj8PK2l7WJ3RER9xtqwdhxkhw/edit?usp=sharing"",""กาญจนบุรี!I468"")"),1900)</f>
        <v>1900</v>
      </c>
      <c r="J573" s="420">
        <f ca="1">IFERROR(__xludf.DUMMYFUNCTION("IMPORTRANGE(""https://docs.google.com/spreadsheets/d/1SX6NBoVAgQJ6U1MVXOaj8PK2l7WJ3RER9xtqwdhxkhw/edit?usp=sharing"",""กาญจนบุรี!J468"")"),1457)</f>
        <v>1457</v>
      </c>
      <c r="K573" s="202">
        <f ca="1">IF(I573&gt;0,J573*100/I573,0)</f>
        <v>76.684210526315795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IFERROR(__xludf.DUMMYFUNCTION("IMPORTRANGE(""https://docs.google.com/spreadsheets/d/1SX6NBoVAgQJ6U1MVXOaj8PK2l7WJ3RER9xtqwdhxkhw/edit?usp=sharing"",""กาญจนบุรี!I470"")"),0)</f>
        <v>0</v>
      </c>
      <c r="J575" s="198">
        <f ca="1">IFERROR(__xludf.DUMMYFUNCTION("IMPORTRANGE(""https://docs.google.com/spreadsheets/d/1SX6NBoVAgQJ6U1MVXOaj8PK2l7WJ3RER9xtqwdhxkhw/edit?usp=sharing"",""กาญจนบุรี!J470"")"),5)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IFERROR(__xludf.DUMMYFUNCTION("IMPORTRANGE(""https://docs.google.com/spreadsheets/d/1SX6NBoVAgQJ6U1MVXOaj8PK2l7WJ3RER9xtqwdhxkhw/edit?usp=sharing"",""กาญจนบุรี!I471"")"),0)</f>
        <v>0</v>
      </c>
      <c r="J576" s="198">
        <f ca="1">IFERROR(__xludf.DUMMYFUNCTION("IMPORTRANGE(""https://docs.google.com/spreadsheets/d/1SX6NBoVAgQJ6U1MVXOaj8PK2l7WJ3RER9xtqwdhxkhw/edit?usp=sharing"",""กาญจนบุรี!J471"")"),323)</f>
        <v>323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IFERROR(__xludf.DUMMYFUNCTION("IMPORTRANGE(""https://docs.google.com/spreadsheets/d/1SX6NBoVAgQJ6U1MVXOaj8PK2l7WJ3RER9xtqwdhxkhw/edit?usp=sharing"",""กาญจนบุรี!I472"")"),0)</f>
        <v>0</v>
      </c>
      <c r="J577" s="189">
        <f ca="1">IFERROR(__xludf.DUMMYFUNCTION("IMPORTRANGE(""https://docs.google.com/spreadsheets/d/1SX6NBoVAgQJ6U1MVXOaj8PK2l7WJ3RER9xtqwdhxkhw/edit?usp=sharing"",""กาญจนบุรี!J472"")"),1134)</f>
        <v>1134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IFERROR(__xludf.DUMMYFUNCTION("IMPORTRANGE(""https://docs.google.com/spreadsheets/d/1SX6NBoVAgQJ6U1MVXOaj8PK2l7WJ3RER9xtqwdhxkhw/edit?usp=sharing"",""กาญจนบุรี!I473"")"),0)</f>
        <v>0</v>
      </c>
      <c r="J578" s="198">
        <f ca="1">IFERROR(__xludf.DUMMYFUNCTION("IMPORTRANGE(""https://docs.google.com/spreadsheets/d/1SX6NBoVAgQJ6U1MVXOaj8PK2l7WJ3RER9xtqwdhxkhw/edit?usp=sharing"",""กาญจนบุรี!J473"")"),0)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IFERROR(__xludf.DUMMYFUNCTION("IMPORTRANGE(""https://docs.google.com/spreadsheets/d/1SX6NBoVAgQJ6U1MVXOaj8PK2l7WJ3RER9xtqwdhxkhw/edit?usp=sharing"",""กาญจนบุรี!I474"")"),0)</f>
        <v>0</v>
      </c>
      <c r="J579" s="198">
        <f ca="1">IFERROR(__xludf.DUMMYFUNCTION("IMPORTRANGE(""https://docs.google.com/spreadsheets/d/1SX6NBoVAgQJ6U1MVXOaj8PK2l7WJ3RER9xtqwdhxkhw/edit?usp=sharing"",""กาญจนบุรี!J474"")"),0)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IFERROR(__xludf.DUMMYFUNCTION("IMPORTRANGE(""https://docs.google.com/spreadsheets/d/1SX6NBoVAgQJ6U1MVXOaj8PK2l7WJ3RER9xtqwdhxkhw/edit?usp=sharing"",""กาญจนบุรี!I475"")"),0)</f>
        <v>0</v>
      </c>
      <c r="J580" s="371">
        <f ca="1">IFERROR(__xludf.DUMMYFUNCTION("IMPORTRANGE(""https://docs.google.com/spreadsheets/d/1SX6NBoVAgQJ6U1MVXOaj8PK2l7WJ3RER9xtqwdhxkhw/edit?usp=sharing"",""กาญจนบุรี!J475"")"),0)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IFERROR(__xludf.DUMMYFUNCTION("IMPORTRANGE(""https://docs.google.com/spreadsheets/d/1SX6NBoVAgQJ6U1MVXOaj8PK2l7WJ3RER9xtqwdhxkhw/edit?usp=sharing"",""กาญจนบุรี!L475"")"),0)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IFERROR(__xludf.DUMMYFUNCTION("IMPORTRANGE(""https://docs.google.com/spreadsheets/d/1SX6NBoVAgQJ6U1MVXOaj8PK2l7WJ3RER9xtqwdhxkhw/edit?usp=sharing"",""กาญจนบุรี!M475"")"),0)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IFERROR(__xludf.DUMMYFUNCTION("IMPORTRANGE(""https://docs.google.com/spreadsheets/d/1SX6NBoVAgQJ6U1MVXOaj8PK2l7WJ3RER9xtqwdhxkhw/edit?usp=sharing"",""กาญจนบุรี!L476"")"),0)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IFERROR(__xludf.DUMMYFUNCTION("IMPORTRANGE(""https://docs.google.com/spreadsheets/d/1SX6NBoVAgQJ6U1MVXOaj8PK2l7WJ3RER9xtqwdhxkhw/edit?usp=sharing"",""กาญจนบุรี!M476"")"),0)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IFERROR(__xludf.DUMMYFUNCTION("IMPORTRANGE(""https://docs.google.com/spreadsheets/d/1SX6NBoVAgQJ6U1MVXOaj8PK2l7WJ3RER9xtqwdhxkhw/edit?usp=sharing"",""กาญจนบุรี!L477"")"),0)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IFERROR(__xludf.DUMMYFUNCTION("IMPORTRANGE(""https://docs.google.com/spreadsheets/d/1SX6NBoVAgQJ6U1MVXOaj8PK2l7WJ3RER9xtqwdhxkhw/edit?usp=sharing"",""กาญจนบุรี!M477"")"),0)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IFERROR(__xludf.DUMMYFUNCTION("IMPORTRANGE(""https://docs.google.com/spreadsheets/d/1SX6NBoVAgQJ6U1MVXOaj8PK2l7WJ3RER9xtqwdhxkhw/edit?usp=sharing"",""กาญจนบุรี!L478"")"),0)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IFERROR(__xludf.DUMMYFUNCTION("IMPORTRANGE(""https://docs.google.com/spreadsheets/d/1SX6NBoVAgQJ6U1MVXOaj8PK2l7WJ3RER9xtqwdhxkhw/edit?usp=sharing"",""กาญจนบุรี!M478"")"),0)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IFERROR(__xludf.DUMMYFUNCTION("IMPORTRANGE(""https://docs.google.com/spreadsheets/d/1SX6NBoVAgQJ6U1MVXOaj8PK2l7WJ3RER9xtqwdhxkhw/edit?usp=sharing"",""กาญจนบุรี!L479"")"),0)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IFERROR(__xludf.DUMMYFUNCTION("IMPORTRANGE(""https://docs.google.com/spreadsheets/d/1SX6NBoVAgQJ6U1MVXOaj8PK2l7WJ3RER9xtqwdhxkhw/edit?usp=sharing"",""กาญจนบุรี!M479"")"),0)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IFERROR(__xludf.DUMMYFUNCTION("IMPORTRANGE(""https://docs.google.com/spreadsheets/d/1SX6NBoVAgQJ6U1MVXOaj8PK2l7WJ3RER9xtqwdhxkhw/edit?usp=sharing"",""กาญจนบุรี!M480"")"),0)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IFERROR(__xludf.DUMMYFUNCTION("IMPORTRANGE(""https://docs.google.com/spreadsheets/d/1SX6NBoVAgQJ6U1MVXOaj8PK2l7WJ3RER9xtqwdhxkhw/edit?usp=sharing"",""กาญจนบุรี!M481"")"),0)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IFERROR(__xludf.DUMMYFUNCTION("IMPORTRANGE(""https://docs.google.com/spreadsheets/d/1SX6NBoVAgQJ6U1MVXOaj8PK2l7WJ3RER9xtqwdhxkhw/edit?usp=sharing"",""กาญจนบุรี!M482"")"),0)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IFERROR(__xludf.DUMMYFUNCTION("IMPORTRANGE(""https://docs.google.com/spreadsheets/d/1SX6NBoVAgQJ6U1MVXOaj8PK2l7WJ3RER9xtqwdhxkhw/edit?usp=sharing"",""กาญจนบุรี!M483"")"),0)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IFERROR(__xludf.DUMMYFUNCTION("IMPORTRANGE(""https://docs.google.com/spreadsheets/d/1SX6NBoVAgQJ6U1MVXOaj8PK2l7WJ3RER9xtqwdhxkhw/edit?usp=sharing"",""กาญจนบุรี!I484"")"),0)</f>
        <v>0</v>
      </c>
      <c r="J589" s="188">
        <f ca="1">IFERROR(__xludf.DUMMYFUNCTION("IMPORTRANGE(""https://docs.google.com/spreadsheets/d/1SX6NBoVAgQJ6U1MVXOaj8PK2l7WJ3RER9xtqwdhxkhw/edit?usp=sharing"",""กาญจนบุรี!J484"")"),0)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IFERROR(__xludf.DUMMYFUNCTION("IMPORTRANGE(""https://docs.google.com/spreadsheets/d/1SX6NBoVAgQJ6U1MVXOaj8PK2l7WJ3RER9xtqwdhxkhw/edit?usp=sharing"",""กาญจนบุรี!I485"")"),0)</f>
        <v>0</v>
      </c>
      <c r="J590" s="188">
        <f ca="1">IFERROR(__xludf.DUMMYFUNCTION("IMPORTRANGE(""https://docs.google.com/spreadsheets/d/1SX6NBoVAgQJ6U1MVXOaj8PK2l7WJ3RER9xtqwdhxkhw/edit?usp=sharing"",""กาญจนบุรี!J485"")"),0)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IFERROR(__xludf.DUMMYFUNCTION("IMPORTRANGE(""https://docs.google.com/spreadsheets/d/1SX6NBoVAgQJ6U1MVXOaj8PK2l7WJ3RER9xtqwdhxkhw/edit?usp=sharing"",""กาญจนบุรี!I486"")"),0)</f>
        <v>0</v>
      </c>
      <c r="J591" s="188">
        <f ca="1">IFERROR(__xludf.DUMMYFUNCTION("IMPORTRANGE(""https://docs.google.com/spreadsheets/d/1SX6NBoVAgQJ6U1MVXOaj8PK2l7WJ3RER9xtqwdhxkhw/edit?usp=sharing"",""กาญจนบุรี!J486"")"),0)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IFERROR(__xludf.DUMMYFUNCTION("IMPORTRANGE(""https://docs.google.com/spreadsheets/d/1SX6NBoVAgQJ6U1MVXOaj8PK2l7WJ3RER9xtqwdhxkhw/edit?usp=sharing"",""กาญจนบุรี!I487"")"),0)</f>
        <v>0</v>
      </c>
      <c r="J592" s="188">
        <f ca="1">IFERROR(__xludf.DUMMYFUNCTION("IMPORTRANGE(""https://docs.google.com/spreadsheets/d/1SX6NBoVAgQJ6U1MVXOaj8PK2l7WJ3RER9xtqwdhxkhw/edit?usp=sharing"",""กาญจนบุรี!J487"")"),0)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IFERROR(__xludf.DUMMYFUNCTION("IMPORTRANGE(""https://docs.google.com/spreadsheets/d/1SX6NBoVAgQJ6U1MVXOaj8PK2l7WJ3RER9xtqwdhxkhw/edit?usp=sharing"",""กาญจนบุรี!I488"")"),0)</f>
        <v>0</v>
      </c>
      <c r="J593" s="188">
        <f ca="1">IFERROR(__xludf.DUMMYFUNCTION("IMPORTRANGE(""https://docs.google.com/spreadsheets/d/1SX6NBoVAgQJ6U1MVXOaj8PK2l7WJ3RER9xtqwdhxkhw/edit?usp=sharing"",""กาญจนบุรี!J488"")"),0)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IFERROR(__xludf.DUMMYFUNCTION("IMPORTRANGE(""https://docs.google.com/spreadsheets/d/1SX6NBoVAgQJ6U1MVXOaj8PK2l7WJ3RER9xtqwdhxkhw/edit?usp=sharing"",""กาญจนบุรี!I489"")"),0)</f>
        <v>0</v>
      </c>
      <c r="J594" s="188">
        <f ca="1">IFERROR(__xludf.DUMMYFUNCTION("IMPORTRANGE(""https://docs.google.com/spreadsheets/d/1SX6NBoVAgQJ6U1MVXOaj8PK2l7WJ3RER9xtqwdhxkhw/edit?usp=sharing"",""กาญจนบุรี!J489"")"),0)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IFERROR(__xludf.DUMMYFUNCTION("IMPORTRANGE(""https://docs.google.com/spreadsheets/d/1SX6NBoVAgQJ6U1MVXOaj8PK2l7WJ3RER9xtqwdhxkhw/edit?usp=sharing"",""กาญจนบุรี!I490"")"),0)</f>
        <v>0</v>
      </c>
      <c r="J595" s="188">
        <f ca="1">IFERROR(__xludf.DUMMYFUNCTION("IMPORTRANGE(""https://docs.google.com/spreadsheets/d/1SX6NBoVAgQJ6U1MVXOaj8PK2l7WJ3RER9xtqwdhxkhw/edit?usp=sharing"",""กาญจนบุรี!J490"")"),0)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IFERROR(__xludf.DUMMYFUNCTION("IMPORTRANGE(""https://docs.google.com/spreadsheets/d/1SX6NBoVAgQJ6U1MVXOaj8PK2l7WJ3RER9xtqwdhxkhw/edit?usp=sharing"",""กาญจนบุรี!I491"")"),0)</f>
        <v>0</v>
      </c>
      <c r="J596" s="241">
        <f ca="1">IFERROR(__xludf.DUMMYFUNCTION("IMPORTRANGE(""https://docs.google.com/spreadsheets/d/1SX6NBoVAgQJ6U1MVXOaj8PK2l7WJ3RER9xtqwdhxkhw/edit?usp=sharing"",""กาญจนบุรี!J491"")"),0)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IFERROR(__xludf.DUMMYFUNCTION("IMPORTRANGE(""https://docs.google.com/spreadsheets/d/1SX6NBoVAgQJ6U1MVXOaj8PK2l7WJ3RER9xtqwdhxkhw/edit?usp=sharing"",""กาญจนบุรี!I492"")"),300)</f>
        <v>300</v>
      </c>
      <c r="J597" s="487">
        <f ca="1">IFERROR(__xludf.DUMMYFUNCTION("IMPORTRANGE(""https://docs.google.com/spreadsheets/d/1SX6NBoVAgQJ6U1MVXOaj8PK2l7WJ3RER9xtqwdhxkhw/edit?usp=sharing"",""กาญจนบุรี!J492"")"),0)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IFERROR(__xludf.DUMMYFUNCTION("IMPORTRANGE(""https://docs.google.com/spreadsheets/d/1SX6NBoVAgQJ6U1MVXOaj8PK2l7WJ3RER9xtqwdhxkhw/edit?usp=sharing"",""กาญจนบุรี!L492"")"),18300)</f>
        <v>18300</v>
      </c>
      <c r="M597" s="412"/>
      <c r="N597" s="412">
        <f ca="1">IFERROR(__xludf.DUMMYFUNCTION("IMPORTRANGE(""https://docs.google.com/spreadsheets/d/1SX6NBoVAgQJ6U1MVXOaj8PK2l7WJ3RER9xtqwdhxkhw/edit?usp=sharing"",""กาญจนบุรี!M492"")"),320)</f>
        <v>320</v>
      </c>
      <c r="O597" s="412">
        <f t="shared" ref="O597:O601" ca="1" si="126">+IF(L597&gt;0,N597*100/L597,0)</f>
        <v>1.7486338797814207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IFERROR(__xludf.DUMMYFUNCTION("IMPORTRANGE(""https://docs.google.com/spreadsheets/d/1SX6NBoVAgQJ6U1MVXOaj8PK2l7WJ3RER9xtqwdhxkhw/edit?usp=sharing"",""กาญจนบุรี!L493"")"),0)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IFERROR(__xludf.DUMMYFUNCTION("IMPORTRANGE(""https://docs.google.com/spreadsheets/d/1SX6NBoVAgQJ6U1MVXOaj8PK2l7WJ3RER9xtqwdhxkhw/edit?usp=sharing"",""กาญจนบุรี!M493"")"),0)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IFERROR(__xludf.DUMMYFUNCTION("IMPORTRANGE(""https://docs.google.com/spreadsheets/d/1SX6NBoVAgQJ6U1MVXOaj8PK2l7WJ3RER9xtqwdhxkhw/edit?usp=sharing"",""กาญจนบุรี!L494"")"),18300)</f>
        <v>18300</v>
      </c>
      <c r="M599" s="165"/>
      <c r="N599" s="169">
        <f ca="1">IFERROR(__xludf.DUMMYFUNCTION("IMPORTRANGE(""https://docs.google.com/spreadsheets/d/1SX6NBoVAgQJ6U1MVXOaj8PK2l7WJ3RER9xtqwdhxkhw/edit?usp=sharing"",""กาญจนบุรี!M494"")"),320)</f>
        <v>320</v>
      </c>
      <c r="O599" s="169">
        <f t="shared" ca="1" si="126"/>
        <v>1.7486338797814207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IFERROR(__xludf.DUMMYFUNCTION("IMPORTRANGE(""https://docs.google.com/spreadsheets/d/1SX6NBoVAgQJ6U1MVXOaj8PK2l7WJ3RER9xtqwdhxkhw/edit?usp=sharing"",""กาญจนบุรี!L495"")"),0)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IFERROR(__xludf.DUMMYFUNCTION("IMPORTRANGE(""https://docs.google.com/spreadsheets/d/1SX6NBoVAgQJ6U1MVXOaj8PK2l7WJ3RER9xtqwdhxkhw/edit?usp=sharing"",""กาญจนบุรี!M495"")"),0)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IFERROR(__xludf.DUMMYFUNCTION("IMPORTRANGE(""https://docs.google.com/spreadsheets/d/1SX6NBoVAgQJ6U1MVXOaj8PK2l7WJ3RER9xtqwdhxkhw/edit?usp=sharing"",""กาญจนบุรี!L496"")"),18300)</f>
        <v>18300</v>
      </c>
      <c r="M601" s="169"/>
      <c r="N601" s="169">
        <f ca="1">IFERROR(__xludf.DUMMYFUNCTION("IMPORTRANGE(""https://docs.google.com/spreadsheets/d/1SX6NBoVAgQJ6U1MVXOaj8PK2l7WJ3RER9xtqwdhxkhw/edit?usp=sharing"",""กาญจนบุรี!M496"")"),320)</f>
        <v>320</v>
      </c>
      <c r="O601" s="169">
        <f t="shared" ca="1" si="126"/>
        <v>1.7486338797814207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IFERROR(__xludf.DUMMYFUNCTION("IMPORTRANGE(""https://docs.google.com/spreadsheets/d/1SX6NBoVAgQJ6U1MVXOaj8PK2l7WJ3RER9xtqwdhxkhw/edit?usp=sharing"",""กาญจนบุรี!M497"")"),0)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IFERROR(__xludf.DUMMYFUNCTION("IMPORTRANGE(""https://docs.google.com/spreadsheets/d/1SX6NBoVAgQJ6U1MVXOaj8PK2l7WJ3RER9xtqwdhxkhw/edit?usp=sharing"",""กาญจนบุรี!M498"")"),0)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IFERROR(__xludf.DUMMYFUNCTION("IMPORTRANGE(""https://docs.google.com/spreadsheets/d/1SX6NBoVAgQJ6U1MVXOaj8PK2l7WJ3RER9xtqwdhxkhw/edit?usp=sharing"",""กาญจนบุรี!M499"")"),0)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IFERROR(__xludf.DUMMYFUNCTION("IMPORTRANGE(""https://docs.google.com/spreadsheets/d/1SX6NBoVAgQJ6U1MVXOaj8PK2l7WJ3RER9xtqwdhxkhw/edit?usp=sharing"",""กาญจนบุรี!M500"")"),320)</f>
        <v>320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IFERROR(__xludf.DUMMYFUNCTION("IMPORTRANGE(""https://docs.google.com/spreadsheets/d/1SX6NBoVAgQJ6U1MVXOaj8PK2l7WJ3RER9xtqwdhxkhw/edit?usp=sharing"",""กาญจนบุรี!J502"")"),0)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IFERROR(__xludf.DUMMYFUNCTION("IMPORTRANGE(""https://docs.google.com/spreadsheets/d/1SX6NBoVAgQJ6U1MVXOaj8PK2l7WJ3RER9xtqwdhxkhw/edit?usp=sharing"",""กาญจนบุรี!J503"")"),1)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IFERROR(__xludf.DUMMYFUNCTION("IMPORTRANGE(""https://docs.google.com/spreadsheets/d/1SX6NBoVAgQJ6U1MVXOaj8PK2l7WJ3RER9xtqwdhxkhw/edit?usp=sharing"",""กาญจนบุรี!J166"")"),0)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IFERROR(__xludf.DUMMYFUNCTION("IMPORTRANGE(""https://docs.google.com/spreadsheets/d/1SX6NBoVAgQJ6U1MVXOaj8PK2l7WJ3RER9xtqwdhxkhw/edit?usp=sharing"",""กาญจนบุรี!J166"")"),0)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IFERROR(__xludf.DUMMYFUNCTION("IMPORTRANGE(""https://docs.google.com/spreadsheets/d/1SX6NBoVAgQJ6U1MVXOaj8PK2l7WJ3RER9xtqwdhxkhw/edit?usp=sharing"",""กาญจนบุรี!I506"")"),300)</f>
        <v>300</v>
      </c>
      <c r="J611" s="162">
        <f ca="1">IFERROR(__xludf.DUMMYFUNCTION("IMPORTRANGE(""https://docs.google.com/spreadsheets/d/1SX6NBoVAgQJ6U1MVXOaj8PK2l7WJ3RER9xtqwdhxkhw/edit?usp=sharing"",""กาญจนบุรี!J506"")"),0)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IFERROR(__xludf.DUMMYFUNCTION("IMPORTRANGE(""https://docs.google.com/spreadsheets/d/1SX6NBoVAgQJ6U1MVXOaj8PK2l7WJ3RER9xtqwdhxkhw/edit?usp=sharing"",""กาญจนบุรี!I507"")"),0)</f>
        <v>0</v>
      </c>
      <c r="J612" s="198">
        <f ca="1">IFERROR(__xludf.DUMMYFUNCTION("IMPORTRANGE(""https://docs.google.com/spreadsheets/d/1SX6NBoVAgQJ6U1MVXOaj8PK2l7WJ3RER9xtqwdhxkhw/edit?usp=sharing"",""กาญจนบุรี!J507"")"),136.63)</f>
        <v>136.63</v>
      </c>
      <c r="K612" s="163">
        <f t="shared" ca="1" si="127"/>
        <v>45.543333333333337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IFERROR(__xludf.DUMMYFUNCTION("IMPORTRANGE(""https://docs.google.com/spreadsheets/d/1SX6NBoVAgQJ6U1MVXOaj8PK2l7WJ3RER9xtqwdhxkhw/edit?usp=sharing"",""กาญจนบุรี!I508"")"),0)</f>
        <v>0</v>
      </c>
      <c r="J613" s="198">
        <f ca="1">IFERROR(__xludf.DUMMYFUNCTION("IMPORTRANGE(""https://docs.google.com/spreadsheets/d/1SX6NBoVAgQJ6U1MVXOaj8PK2l7WJ3RER9xtqwdhxkhw/edit?usp=sharing"",""กาญจนบุรี!J508"")"),136.63)</f>
        <v>136.63</v>
      </c>
      <c r="K613" s="163">
        <f t="shared" ca="1" si="127"/>
        <v>45.543333333333337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IFERROR(__xludf.DUMMYFUNCTION("IMPORTRANGE(""https://docs.google.com/spreadsheets/d/1SX6NBoVAgQJ6U1MVXOaj8PK2l7WJ3RER9xtqwdhxkhw/edit?usp=sharing"",""กาญจนบุรี!I509"")"),0)</f>
        <v>0</v>
      </c>
      <c r="J614" s="198">
        <f ca="1">IFERROR(__xludf.DUMMYFUNCTION("IMPORTRANGE(""https://docs.google.com/spreadsheets/d/1SX6NBoVAgQJ6U1MVXOaj8PK2l7WJ3RER9xtqwdhxkhw/edit?usp=sharing"",""กาญจนบุรี!J509"")"),0)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IFERROR(__xludf.DUMMYFUNCTION("IMPORTRANGE(""https://docs.google.com/spreadsheets/d/1SX6NBoVAgQJ6U1MVXOaj8PK2l7WJ3RER9xtqwdhxkhw/edit?usp=sharing"",""กาญจนบุรี!I510"")"),0)</f>
        <v>0</v>
      </c>
      <c r="J615" s="198">
        <f ca="1">IFERROR(__xludf.DUMMYFUNCTION("IMPORTRANGE(""https://docs.google.com/spreadsheets/d/1SX6NBoVAgQJ6U1MVXOaj8PK2l7WJ3RER9xtqwdhxkhw/edit?usp=sharing"",""กาญจนบุรี!J510"")"),0)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IFERROR(__xludf.DUMMYFUNCTION("IMPORTRANGE(""https://docs.google.com/spreadsheets/d/1SX6NBoVAgQJ6U1MVXOaj8PK2l7WJ3RER9xtqwdhxkhw/edit?usp=sharing"",""กาญจนบุรี!I511"")"),0)</f>
        <v>0</v>
      </c>
      <c r="J616" s="198">
        <f ca="1">IFERROR(__xludf.DUMMYFUNCTION("IMPORTRANGE(""https://docs.google.com/spreadsheets/d/1SX6NBoVAgQJ6U1MVXOaj8PK2l7WJ3RER9xtqwdhxkhw/edit?usp=sharing"",""กาญจนบุรี!J511"")"),0)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IFERROR(__xludf.DUMMYFUNCTION("IMPORTRANGE(""https://docs.google.com/spreadsheets/d/1SX6NBoVAgQJ6U1MVXOaj8PK2l7WJ3RER9xtqwdhxkhw/edit?usp=sharing"",""กาญจนบุรี!I512"")"),0)</f>
        <v>0</v>
      </c>
      <c r="J617" s="188">
        <f ca="1">IFERROR(__xludf.DUMMYFUNCTION("IMPORTRANGE(""https://docs.google.com/spreadsheets/d/1SX6NBoVAgQJ6U1MVXOaj8PK2l7WJ3RER9xtqwdhxkhw/edit?usp=sharing"",""กาญจนบุรี!J512"")"),0)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IFERROR(__xludf.DUMMYFUNCTION("IMPORTRANGE(""https://docs.google.com/spreadsheets/d/1SX6NBoVAgQJ6U1MVXOaj8PK2l7WJ3RER9xtqwdhxkhw/edit?usp=sharing"",""กาญจนบุรี!I513"")"),0)</f>
        <v>0</v>
      </c>
      <c r="J618" s="189">
        <f ca="1">IFERROR(__xludf.DUMMYFUNCTION("IMPORTRANGE(""https://docs.google.com/spreadsheets/d/1SX6NBoVAgQJ6U1MVXOaj8PK2l7WJ3RER9xtqwdhxkhw/edit?usp=sharing"",""กาญจนบุรี!J513"")"),0)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IFERROR(__xludf.DUMMYFUNCTION("IMPORTRANGE(""https://docs.google.com/spreadsheets/d/1SX6NBoVAgQJ6U1MVXOaj8PK2l7WJ3RER9xtqwdhxkhw/edit?usp=sharing"",""กาญจนบุรี!I514"")"),0)</f>
        <v>0</v>
      </c>
      <c r="J619" s="189">
        <f ca="1">IFERROR(__xludf.DUMMYFUNCTION("IMPORTRANGE(""https://docs.google.com/spreadsheets/d/1SX6NBoVAgQJ6U1MVXOaj8PK2l7WJ3RER9xtqwdhxkhw/edit?usp=sharing"",""กาญจนบุรี!J514"")"),0)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IFERROR(__xludf.DUMMYFUNCTION("IMPORTRANGE(""https://docs.google.com/spreadsheets/d/1SX6NBoVAgQJ6U1MVXOaj8PK2l7WJ3RER9xtqwdhxkhw/edit?usp=sharing"",""กาญจนบุรี!I515"")"),0)</f>
        <v>0</v>
      </c>
      <c r="J620" s="203">
        <f ca="1">IFERROR(__xludf.DUMMYFUNCTION("IMPORTRANGE(""https://docs.google.com/spreadsheets/d/1SX6NBoVAgQJ6U1MVXOaj8PK2l7WJ3RER9xtqwdhxkhw/edit?usp=sharing"",""กาญจนบุรี!J515"")"),0)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IFERROR(__xludf.DUMMYFUNCTION("IMPORTRANGE(""https://docs.google.com/spreadsheets/d/1SX6NBoVAgQJ6U1MVXOaj8PK2l7WJ3RER9xtqwdhxkhw/edit?usp=sharing"",""กาญจนบุรี!I516"")"),0)</f>
        <v>0</v>
      </c>
      <c r="J621" s="203">
        <f ca="1">IFERROR(__xludf.DUMMYFUNCTION("IMPORTRANGE(""https://docs.google.com/spreadsheets/d/1SX6NBoVAgQJ6U1MVXOaj8PK2l7WJ3RER9xtqwdhxkhw/edit?usp=sharing"",""กาญจนบุรี!J516"")"),0)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IFERROR(__xludf.DUMMYFUNCTION("IMPORTRANGE(""https://docs.google.com/spreadsheets/d/1SX6NBoVAgQJ6U1MVXOaj8PK2l7WJ3RER9xtqwdhxkhw/edit?usp=sharing"",""กาญจนบุรี!I517"")"),0)</f>
        <v>0</v>
      </c>
      <c r="J622" s="189">
        <f ca="1">IFERROR(__xludf.DUMMYFUNCTION("IMPORTRANGE(""https://docs.google.com/spreadsheets/d/1SX6NBoVAgQJ6U1MVXOaj8PK2l7WJ3RER9xtqwdhxkhw/edit?usp=sharing"",""กาญจนบุรี!J517"")"),0)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IFERROR(__xludf.DUMMYFUNCTION("IMPORTRANGE(""https://docs.google.com/spreadsheets/d/1SX6NBoVAgQJ6U1MVXOaj8PK2l7WJ3RER9xtqwdhxkhw/edit?usp=sharing"",""กาญจนบุรี!I518"")"),0)</f>
        <v>0</v>
      </c>
      <c r="J623" s="189">
        <f ca="1">IFERROR(__xludf.DUMMYFUNCTION("IMPORTRANGE(""https://docs.google.com/spreadsheets/d/1SX6NBoVAgQJ6U1MVXOaj8PK2l7WJ3RER9xtqwdhxkhw/edit?usp=sharing"",""กาญจนบุรี!J518"")"),0)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IFERROR(__xludf.DUMMYFUNCTION("IMPORTRANGE(""https://docs.google.com/spreadsheets/d/1SX6NBoVAgQJ6U1MVXOaj8PK2l7WJ3RER9xtqwdhxkhw/edit?usp=sharing"",""กาญจนบุรี!I519"")"),0)</f>
        <v>0</v>
      </c>
      <c r="J624" s="188">
        <f ca="1">IFERROR(__xludf.DUMMYFUNCTION("IMPORTRANGE(""https://docs.google.com/spreadsheets/d/1SX6NBoVAgQJ6U1MVXOaj8PK2l7WJ3RER9xtqwdhxkhw/edit?usp=sharing"",""กาญจนบุรี!J519"")"),0)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IFERROR(__xludf.DUMMYFUNCTION("IMPORTRANGE(""https://docs.google.com/spreadsheets/d/1SX6NBoVAgQJ6U1MVXOaj8PK2l7WJ3RER9xtqwdhxkhw/edit?usp=sharing"",""กาญจนบุรี!I520"")"),0)</f>
        <v>0</v>
      </c>
      <c r="J625" s="189">
        <f ca="1">IFERROR(__xludf.DUMMYFUNCTION("IMPORTRANGE(""https://docs.google.com/spreadsheets/d/1SX6NBoVAgQJ6U1MVXOaj8PK2l7WJ3RER9xtqwdhxkhw/edit?usp=sharing"",""กาญจนบุรี!J520"")"),0)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IFERROR(__xludf.DUMMYFUNCTION("IMPORTRANGE(""https://docs.google.com/spreadsheets/d/1SX6NBoVAgQJ6U1MVXOaj8PK2l7WJ3RER9xtqwdhxkhw/edit?usp=sharing"",""กาญจนบุรี!I521"")"),0)</f>
        <v>0</v>
      </c>
      <c r="J626" s="189">
        <f ca="1">IFERROR(__xludf.DUMMYFUNCTION("IMPORTRANGE(""https://docs.google.com/spreadsheets/d/1SX6NBoVAgQJ6U1MVXOaj8PK2l7WJ3RER9xtqwdhxkhw/edit?usp=sharing"",""กาญจนบุรี!J521"")"),0)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IFERROR(__xludf.DUMMYFUNCTION("IMPORTRANGE(""https://docs.google.com/spreadsheets/d/1SX6NBoVAgQJ6U1MVXOaj8PK2l7WJ3RER9xtqwdhxkhw/edit?usp=sharing"",""กาญจนบุรี!I523"")"),1500000)</f>
        <v>1500000</v>
      </c>
      <c r="J628" s="341">
        <f ca="1">IFERROR(__xludf.DUMMYFUNCTION("IMPORTRANGE(""https://docs.google.com/spreadsheets/d/1SX6NBoVAgQJ6U1MVXOaj8PK2l7WJ3RER9xtqwdhxkhw/edit?usp=sharing"",""กาญจนบุรี!J523"")"),1507759.66)</f>
        <v>1507759.66</v>
      </c>
      <c r="K628" s="342">
        <f t="shared" ref="K628:K635" ca="1" si="129">IF(I628&gt;0,J628*100/I628,0)</f>
        <v>100.51731066666666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IFERROR(__xludf.DUMMYFUNCTION("IMPORTRANGE(""https://docs.google.com/spreadsheets/d/1SX6NBoVAgQJ6U1MVXOaj8PK2l7WJ3RER9xtqwdhxkhw/edit?usp=sharing"",""กาญจนบุรี!I524"")"),50)</f>
        <v>50</v>
      </c>
      <c r="J629" s="341">
        <f ca="1">IFERROR(__xludf.DUMMYFUNCTION("IMPORTRANGE(""https://docs.google.com/spreadsheets/d/1SX6NBoVAgQJ6U1MVXOaj8PK2l7WJ3RER9xtqwdhxkhw/edit?usp=sharing"",""กาญจนบุรี!J524"")"),54)</f>
        <v>54</v>
      </c>
      <c r="K629" s="342">
        <f t="shared" ca="1" si="129"/>
        <v>108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IFERROR(__xludf.DUMMYFUNCTION("IMPORTRANGE(""https://docs.google.com/spreadsheets/d/1SX6NBoVAgQJ6U1MVXOaj8PK2l7WJ3RER9xtqwdhxkhw/edit?usp=sharing"",""กาญจนบุรี!I525"")"),20900190.37)</f>
        <v>20900190.370000001</v>
      </c>
      <c r="J630" s="341">
        <f ca="1">IFERROR(__xludf.DUMMYFUNCTION("IMPORTRANGE(""https://docs.google.com/spreadsheets/d/1SX6NBoVAgQJ6U1MVXOaj8PK2l7WJ3RER9xtqwdhxkhw/edit?usp=sharing"",""กาญจนบุรี!J525"")"),669967.3)</f>
        <v>669967.30000000005</v>
      </c>
      <c r="K630" s="342">
        <f t="shared" ca="1" si="129"/>
        <v>3.2055559692971354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IFERROR(__xludf.DUMMYFUNCTION("IMPORTRANGE(""https://docs.google.com/spreadsheets/d/1SX6NBoVAgQJ6U1MVXOaj8PK2l7WJ3RER9xtqwdhxkhw/edit?usp=sharing"",""กาญจนบุรี!I526"")"),734)</f>
        <v>734</v>
      </c>
      <c r="J631" s="341">
        <f ca="1">IFERROR(__xludf.DUMMYFUNCTION("IMPORTRANGE(""https://docs.google.com/spreadsheets/d/1SX6NBoVAgQJ6U1MVXOaj8PK2l7WJ3RER9xtqwdhxkhw/edit?usp=sharing"",""กาญจนบุรี!J526"")"),93)</f>
        <v>93</v>
      </c>
      <c r="K631" s="342">
        <f t="shared" ca="1" si="129"/>
        <v>12.670299727520437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IFERROR(__xludf.DUMMYFUNCTION("IMPORTRANGE(""https://docs.google.com/spreadsheets/d/1SX6NBoVAgQJ6U1MVXOaj8PK2l7WJ3RER9xtqwdhxkhw/edit?usp=sharing"",""กาญจนบุรี!I527"")"),608345.67)</f>
        <v>608345.67000000004</v>
      </c>
      <c r="J632" s="341">
        <f ca="1">IFERROR(__xludf.DUMMYFUNCTION("IMPORTRANGE(""https://docs.google.com/spreadsheets/d/1SX6NBoVAgQJ6U1MVXOaj8PK2l7WJ3RER9xtqwdhxkhw/edit?usp=sharing"",""กาญจนบุรี!J527"")"),29342.85)</f>
        <v>29342.85</v>
      </c>
      <c r="K632" s="342">
        <f t="shared" ca="1" si="129"/>
        <v>4.8233843761886233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IFERROR(__xludf.DUMMYFUNCTION("IMPORTRANGE(""https://docs.google.com/spreadsheets/d/1SX6NBoVAgQJ6U1MVXOaj8PK2l7WJ3RER9xtqwdhxkhw/edit?usp=sharing"",""กาญจนบุรี!I528"")"),179)</f>
        <v>179</v>
      </c>
      <c r="J633" s="341">
        <f ca="1">IFERROR(__xludf.DUMMYFUNCTION("IMPORTRANGE(""https://docs.google.com/spreadsheets/d/1SX6NBoVAgQJ6U1MVXOaj8PK2l7WJ3RER9xtqwdhxkhw/edit?usp=sharing"",""กาญจนบุรี!J528"")"),6)</f>
        <v>6</v>
      </c>
      <c r="K633" s="342">
        <f t="shared" ca="1" si="129"/>
        <v>3.3519553072625698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IFERROR(__xludf.DUMMYFUNCTION("IMPORTRANGE(""https://docs.google.com/spreadsheets/d/1SX6NBoVAgQJ6U1MVXOaj8PK2l7WJ3RER9xtqwdhxkhw/edit?usp=sharing"",""กาญจนบุรี!I529"")"),2100000)</f>
        <v>2100000</v>
      </c>
      <c r="J634" s="341">
        <f ca="1">IFERROR(__xludf.DUMMYFUNCTION("IMPORTRANGE(""https://docs.google.com/spreadsheets/d/1SX6NBoVAgQJ6U1MVXOaj8PK2l7WJ3RER9xtqwdhxkhw/edit?usp=sharing"",""กาญจนบุรี!J529"")"),0)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IFERROR(__xludf.DUMMYFUNCTION("IMPORTRANGE(""https://docs.google.com/spreadsheets/d/1SX6NBoVAgQJ6U1MVXOaj8PK2l7WJ3RER9xtqwdhxkhw/edit?usp=sharing"",""กาญจนบุรี!I530"")"),70)</f>
        <v>70</v>
      </c>
      <c r="J635" s="504">
        <f ca="1">IFERROR(__xludf.DUMMYFUNCTION("IMPORTRANGE(""https://docs.google.com/spreadsheets/d/1SX6NBoVAgQJ6U1MVXOaj8PK2l7WJ3RER9xtqwdhxkhw/edit?usp=sharing"",""กาญจนบุรี!J530"")"),0)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274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2229095</v>
      </c>
      <c r="M8" s="23">
        <f t="shared" ca="1" si="0"/>
        <v>1478782</v>
      </c>
      <c r="N8" s="23">
        <f t="shared" ca="1" si="0"/>
        <v>1161671.8500000001</v>
      </c>
      <c r="O8" s="22">
        <f t="shared" ref="O8:O16" ca="1" si="1">IF(L8&gt;0,N8*100/L8,0)</f>
        <v>52.114057498670995</v>
      </c>
      <c r="P8" s="22">
        <f t="shared" ref="P8:P16" ca="1" si="2">IF(M8&gt;0,N8*100/M8,0)</f>
        <v>78.55599067340556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2229095</v>
      </c>
      <c r="M10" s="30">
        <f t="shared" ca="1" si="4"/>
        <v>1478782</v>
      </c>
      <c r="N10" s="30">
        <f t="shared" ca="1" si="4"/>
        <v>1161671.8500000001</v>
      </c>
      <c r="O10" s="29">
        <f t="shared" ca="1" si="1"/>
        <v>52.114057498670995</v>
      </c>
      <c r="P10" s="29">
        <f t="shared" ca="1" si="2"/>
        <v>78.55599067340556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2094095</v>
      </c>
      <c r="M12" s="38">
        <f t="shared" ca="1" si="6"/>
        <v>1343782</v>
      </c>
      <c r="N12" s="38">
        <f t="shared" ca="1" si="6"/>
        <v>1026671.85</v>
      </c>
      <c r="O12" s="38">
        <f t="shared" ca="1" si="1"/>
        <v>49.026994954861166</v>
      </c>
      <c r="P12" s="38">
        <f t="shared" ca="1" si="2"/>
        <v>76.401667085881485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1677900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416195</v>
      </c>
      <c r="M14" s="38">
        <f t="shared" si="8"/>
        <v>0</v>
      </c>
      <c r="N14" s="38">
        <f t="shared" ca="1" si="8"/>
        <v>174569.66</v>
      </c>
      <c r="O14" s="38">
        <f t="shared" ca="1" si="1"/>
        <v>41.944199233532359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135000</v>
      </c>
      <c r="M16" s="38">
        <f t="shared" ca="1" si="10"/>
        <v>135000</v>
      </c>
      <c r="N16" s="38">
        <f t="shared" ca="1" si="10"/>
        <v>135000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1904865</v>
      </c>
      <c r="M18" s="23">
        <f t="shared" ca="1" si="11"/>
        <v>1478782</v>
      </c>
      <c r="N18" s="23">
        <f t="shared" ca="1" si="11"/>
        <v>987102.19</v>
      </c>
      <c r="O18" s="22">
        <f t="shared" ref="O18:O20" ca="1" si="12">IF(L18&gt;0,N18*100/L18,0)</f>
        <v>51.820060214240904</v>
      </c>
      <c r="P18" s="22">
        <f t="shared" ref="P18:P26" ca="1" si="13">IF(M18&gt;0,N18*100/M18,0)</f>
        <v>66.751028211054773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1904865</v>
      </c>
      <c r="M20" s="30">
        <f t="shared" ca="1" si="15"/>
        <v>1478782</v>
      </c>
      <c r="N20" s="30">
        <f t="shared" ca="1" si="15"/>
        <v>987102.19</v>
      </c>
      <c r="O20" s="29">
        <f t="shared" ca="1" si="12"/>
        <v>51.820060214240904</v>
      </c>
      <c r="P20" s="29">
        <f t="shared" ca="1" si="13"/>
        <v>66.751028211054773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1769865</v>
      </c>
      <c r="M22" s="41">
        <f t="shared" ca="1" si="18"/>
        <v>1343782</v>
      </c>
      <c r="N22" s="38">
        <f t="shared" ca="1" si="18"/>
        <v>852102.19</v>
      </c>
      <c r="O22" s="38">
        <f t="shared" ca="1" si="17"/>
        <v>48.145038745893046</v>
      </c>
      <c r="P22" s="38">
        <f t="shared" ca="1" si="13"/>
        <v>63.410745939445533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1677900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91965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135000</v>
      </c>
      <c r="M26" s="49">
        <f t="shared" ca="1" si="22"/>
        <v>135000</v>
      </c>
      <c r="N26" s="49">
        <f t="shared" ca="1" si="22"/>
        <v>135000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324230</v>
      </c>
      <c r="M28" s="23">
        <f t="shared" si="23"/>
        <v>0</v>
      </c>
      <c r="N28" s="23">
        <f t="shared" ca="1" si="23"/>
        <v>174569.66</v>
      </c>
      <c r="O28" s="22">
        <f t="shared" ref="O28:O30" ca="1" si="24">IF(L28&gt;0,N28*100/L28,0)</f>
        <v>53.841304012583663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324230</v>
      </c>
      <c r="M30" s="30">
        <f t="shared" si="27"/>
        <v>0</v>
      </c>
      <c r="N30" s="30">
        <f t="shared" ca="1" si="27"/>
        <v>174569.66</v>
      </c>
      <c r="O30" s="29">
        <f t="shared" ca="1" si="24"/>
        <v>53.841304012583663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324230</v>
      </c>
      <c r="M32" s="38">
        <f t="shared" si="30"/>
        <v>0</v>
      </c>
      <c r="N32" s="38">
        <f t="shared" ca="1" si="30"/>
        <v>174569.66</v>
      </c>
      <c r="O32" s="38">
        <f t="shared" ca="1" si="29"/>
        <v>53.841304012583663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324230</v>
      </c>
      <c r="M34" s="38">
        <f t="shared" si="32"/>
        <v>0</v>
      </c>
      <c r="N34" s="38">
        <f t="shared" ca="1" si="32"/>
        <v>174569.66</v>
      </c>
      <c r="O34" s="38">
        <f t="shared" ca="1" si="29"/>
        <v>53.841304012583663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1904865</v>
      </c>
      <c r="M37" s="54">
        <f t="shared" ca="1" si="33"/>
        <v>1478782</v>
      </c>
      <c r="N37" s="54">
        <f t="shared" ca="1" si="33"/>
        <v>987102.19</v>
      </c>
      <c r="O37" s="55">
        <f t="shared" ca="1" si="29"/>
        <v>51.820060214240904</v>
      </c>
      <c r="P37" s="55">
        <f t="shared" ca="1" si="25"/>
        <v>66.751028211054773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884100</v>
      </c>
      <c r="M41" s="78">
        <f t="shared" ca="1" si="34"/>
        <v>663100</v>
      </c>
      <c r="N41" s="78">
        <f t="shared" ca="1" si="34"/>
        <v>388940.78</v>
      </c>
      <c r="O41" s="77">
        <f t="shared" ref="O41:O43" ca="1" si="35">IF(L41&gt;0,N41*100/L41,0)</f>
        <v>43.992849225200771</v>
      </c>
      <c r="P41" s="77">
        <f t="shared" ref="P41:P43" ca="1" si="36">IF(M41&gt;0,N41*100/M41,0)</f>
        <v>58.654920826421353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884100</v>
      </c>
      <c r="M43" s="78">
        <f t="shared" ca="1" si="38"/>
        <v>663100</v>
      </c>
      <c r="N43" s="78">
        <f t="shared" ca="1" si="38"/>
        <v>388940.78</v>
      </c>
      <c r="O43" s="77">
        <f t="shared" ca="1" si="35"/>
        <v>43.992849225200771</v>
      </c>
      <c r="P43" s="77">
        <f t="shared" ca="1" si="36"/>
        <v>58.654920826421353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884100</v>
      </c>
      <c r="M45" s="49">
        <f ca="1">IFERROR(__xludf.DUMMYFUNCTION("IMPORTRANGE(""https://docs.google.com/spreadsheets/d/1Yj_ptqi66GCucihVvJfMjLAmec39IyEx_6qawtMGysU/edit?usp=sharing"",""สบก!Q77"")"),663100)</f>
        <v>663100</v>
      </c>
      <c r="N45" s="49">
        <f ca="1">IFERROR(__xludf.DUMMYFUNCTION("IMPORTRANGE(""https://docs.google.com/spreadsheets/d/1Yj_ptqi66GCucihVvJfMjLAmec39IyEx_6qawtMGysU/edit?usp=sharing"",""สบก!R77"")"),388940.78)</f>
        <v>388940.78</v>
      </c>
      <c r="O45" s="38">
        <f ca="1">IF(L45&gt;0,N45*100/L45,0)</f>
        <v>43.992849225200771</v>
      </c>
      <c r="P45" s="38">
        <f ca="1">IF(M45&gt;0,N45*100/M45,0)</f>
        <v>58.654920826421353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IFERROR(__xludf.DUMMYFUNCTION("IMPORTRANGE(""https://docs.google.com/spreadsheets/d/1Yj_ptqi66GCucihVvJfMjLAmec39IyEx_6qawtMGysU/edit?usp=sharing"",""สบก!M77"")"),884100)</f>
        <v>884100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IFERROR(__xludf.DUMMYFUNCTION("IMPORTRANGE(""https://docs.google.com/spreadsheets/d/1Yj_ptqi66GCucihVvJfMjLAmec39IyEx_6qawtMGysU/edit?usp=sharing"",""สบก!N77"")"),0)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IFERROR(__xludf.DUMMYFUNCTION("IMPORTRANGE(""https://docs.google.com/spreadsheets/d/1Yj_ptqi66GCucihVvJfMjLAmec39IyEx_6qawtMGysU/edit?usp=sharing"",""สบก!O77"")"),0)</f>
        <v>0</v>
      </c>
      <c r="M49" s="49"/>
      <c r="N49" s="49">
        <f ca="1">IFERROR(__xludf.DUMMYFUNCTION("IMPORTRANGE(""https://docs.google.com/spreadsheets/d/1Yj_ptqi66GCucihVvJfMjLAmec39IyEx_6qawtMGysU/edit?usp=sharing"",""สบก!S77"")"),0)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239472</v>
      </c>
      <c r="N53" s="121">
        <f t="shared" ca="1" si="39"/>
        <v>157051</v>
      </c>
      <c r="O53" s="120">
        <f t="shared" ref="O53:O55" ca="1" si="40">IF(L53&gt;0,N53*100/L53,0)</f>
        <v>52.350333333333332</v>
      </c>
      <c r="P53" s="120">
        <f t="shared" ref="P53:P55" ca="1" si="41">IF(M53&gt;0,N53*100/M53,0)</f>
        <v>65.582197501169233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239472</v>
      </c>
      <c r="N55" s="121">
        <f t="shared" ca="1" si="43"/>
        <v>157051</v>
      </c>
      <c r="O55" s="120">
        <f t="shared" ca="1" si="40"/>
        <v>52.350333333333332</v>
      </c>
      <c r="P55" s="120">
        <f t="shared" ca="1" si="41"/>
        <v>65.582197501169233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IFERROR(__xludf.DUMMYFUNCTION("IMPORTRANGE(""https://docs.google.com/spreadsheets/d/1Yj_ptqi66GCucihVvJfMjLAmec39IyEx_6qawtMGysU/edit?usp=sharing"",""สบก!Z77"")"),239472)</f>
        <v>239472</v>
      </c>
      <c r="N57" s="49">
        <f ca="1">IFERROR(__xludf.DUMMYFUNCTION("IMPORTRANGE(""https://docs.google.com/spreadsheets/d/1Yj_ptqi66GCucihVvJfMjLAmec39IyEx_6qawtMGysU/edit?usp=sharing"",""สบก!AA77"")"),157051)</f>
        <v>157051</v>
      </c>
      <c r="O57" s="38">
        <f ca="1">IF(L57&gt;0,N57*100/L57,0)</f>
        <v>52.350333333333332</v>
      </c>
      <c r="P57" s="38">
        <f ca="1">IF(M57&gt;0,N57*100/M57,0)</f>
        <v>65.582197501169233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IFERROR(__xludf.DUMMYFUNCTION("IMPORTRANGE(""https://docs.google.com/spreadsheets/d/1Yj_ptqi66GCucihVvJfMjLAmec39IyEx_6qawtMGysU/edit?usp=sharing"",""สบก!V77"")"),300000)</f>
        <v>300000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IFERROR(__xludf.DUMMYFUNCTION("IMPORTRANGE(""https://docs.google.com/spreadsheets/d/1Yj_ptqi66GCucihVvJfMjLAmec39IyEx_6qawtMGysU/edit?usp=sharing"",""สบก!W77"")"),0)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IFERROR(__xludf.DUMMYFUNCTION("IMPORTRANGE(""https://docs.google.com/spreadsheets/d/1Yj_ptqi66GCucihVvJfMjLAmec39IyEx_6qawtMGysU/edit?usp=sharing"",""สบก!X77"")"),0)</f>
        <v>0</v>
      </c>
      <c r="M61" s="49"/>
      <c r="N61" s="49">
        <f ca="1">IFERROR(__xludf.DUMMYFUNCTION("IMPORTRANGE(""https://docs.google.com/spreadsheets/d/1Yj_ptqi66GCucihVvJfMjLAmec39IyEx_6qawtMGysU/edit?usp=sharing"",""สบก!AB77"")"),0)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IFERROR(__xludf.DUMMYFUNCTION("IMPORTRANGE(""https://docs.google.com/spreadsheets/d/1SX6NBoVAgQJ6U1MVXOaj8PK2l7WJ3RER9xtqwdhxkhw/edit?usp=sharing"",""สิงห์บุรี!I9"")"),0)</f>
        <v>0</v>
      </c>
      <c r="J64" s="142">
        <f ca="1">IFERROR(__xludf.DUMMYFUNCTION("IMPORTRANGE(""https://docs.google.com/spreadsheets/d/1SX6NBoVAgQJ6U1MVXOaj8PK2l7WJ3RER9xtqwdhxkhw/edit?usp=sharing"",""สิงห์บุรี!J9"")"),0)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IFERROR(__xludf.DUMMYFUNCTION("IMPORTRANGE(""https://docs.google.com/spreadsheets/d/1SX6NBoVAgQJ6U1MVXOaj8PK2l7WJ3RER9xtqwdhxkhw/edit?usp=sharing"",""สิงห์บุรี!I10"")"),0)</f>
        <v>0</v>
      </c>
      <c r="J65" s="142">
        <f ca="1">IFERROR(__xludf.DUMMYFUNCTION("IMPORTRANGE(""https://docs.google.com/spreadsheets/d/1SX6NBoVAgQJ6U1MVXOaj8PK2l7WJ3RER9xtqwdhxkhw/edit?usp=sharing"",""สิงห์บุรี!J10"")"),0)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IFERROR(__xludf.DUMMYFUNCTION("IMPORTRANGE(""https://docs.google.com/spreadsheets/d/1Yj_ptqi66GCucihVvJfMjLAmec39IyEx_6qawtMGysU/edit?usp=sharing"",""สบก!AI77"")"),0)</f>
        <v>0</v>
      </c>
      <c r="N70" s="169">
        <f ca="1">IFERROR(__xludf.DUMMYFUNCTION("IMPORTRANGE(""https://docs.google.com/spreadsheets/d/1Yj_ptqi66GCucihVvJfMjLAmec39IyEx_6qawtMGysU/edit?usp=sharing"",""สบก!AJ77"")"),0)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IFERROR(__xludf.DUMMYFUNCTION("IMPORTRANGE(""https://docs.google.com/spreadsheets/d/1Yj_ptqi66GCucihVvJfMjLAmec39IyEx_6qawtMGysU/edit?usp=sharing"",""สบก!AE77"")"),0)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IFERROR(__xludf.DUMMYFUNCTION("IMPORTRANGE(""https://docs.google.com/spreadsheets/d/1Yj_ptqi66GCucihVvJfMjLAmec39IyEx_6qawtMGysU/edit?usp=sharing"",""สบก!AF77"")"),0)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IFERROR(__xludf.DUMMYFUNCTION("IMPORTRANGE(""https://docs.google.com/spreadsheets/d/1Yj_ptqi66GCucihVvJfMjLAmec39IyEx_6qawtMGysU/edit?usp=sharing"",""สบก!AG77"")"),0)</f>
        <v>0</v>
      </c>
      <c r="M74" s="49"/>
      <c r="N74" s="49">
        <f ca="1">IFERROR(__xludf.DUMMYFUNCTION("IMPORTRANGE(""https://docs.google.com/spreadsheets/d/1Yj_ptqi66GCucihVvJfMjLAmec39IyEx_6qawtMGysU/edit?usp=sharing"",""สบก!AK77"")"),0)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IFERROR(__xludf.DUMMYFUNCTION("IMPORTRANGE(""https://docs.google.com/spreadsheets/d/1SX6NBoVAgQJ6U1MVXOaj8PK2l7WJ3RER9xtqwdhxkhw/edit?usp=sharing"",""สิงห์บุรี!J16"")"),0)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IFERROR(__xludf.DUMMYFUNCTION("IMPORTRANGE(""https://docs.google.com/spreadsheets/d/1SX6NBoVAgQJ6U1MVXOaj8PK2l7WJ3RER9xtqwdhxkhw/edit?usp=sharing"",""สิงห์บุรี!J17"")"),0)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IFERROR(__xludf.DUMMYFUNCTION("IMPORTRANGE(""https://docs.google.com/spreadsheets/d/1SX6NBoVAgQJ6U1MVXOaj8PK2l7WJ3RER9xtqwdhxkhw/edit?usp=sharing"",""สิงห์บุรี!J18"")"),0)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IFERROR(__xludf.DUMMYFUNCTION("IMPORTRANGE(""https://docs.google.com/spreadsheets/d/1SX6NBoVAgQJ6U1MVXOaj8PK2l7WJ3RER9xtqwdhxkhw/edit?usp=sharing"",""สิงห์บุรี!J19"")"),0)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IFERROR(__xludf.DUMMYFUNCTION("IMPORTRANGE(""https://docs.google.com/spreadsheets/d/1SX6NBoVAgQJ6U1MVXOaj8PK2l7WJ3RER9xtqwdhxkhw/edit?usp=sharing"",""สิงห์บุรี!I20"")"),0)</f>
        <v>0</v>
      </c>
      <c r="J80" s="201">
        <f ca="1">IFERROR(__xludf.DUMMYFUNCTION("IMPORTRANGE(""https://docs.google.com/spreadsheets/d/1SX6NBoVAgQJ6U1MVXOaj8PK2l7WJ3RER9xtqwdhxkhw/edit?usp=sharing"",""สิงห์บุรี!J20"")"),0)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IFERROR(__xludf.DUMMYFUNCTION("IMPORTRANGE(""https://docs.google.com/spreadsheets/d/1SX6NBoVAgQJ6U1MVXOaj8PK2l7WJ3RER9xtqwdhxkhw/edit?usp=sharing"",""สิงห์บุรี!I21"")"),0)</f>
        <v>0</v>
      </c>
      <c r="J81" s="201">
        <f ca="1">IFERROR(__xludf.DUMMYFUNCTION("IMPORTRANGE(""https://docs.google.com/spreadsheets/d/1SX6NBoVAgQJ6U1MVXOaj8PK2l7WJ3RER9xtqwdhxkhw/edit?usp=sharing"",""สิงห์บุรี!J21"")"),0)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IFERROR(__xludf.DUMMYFUNCTION("IMPORTRANGE(""https://docs.google.com/spreadsheets/d/1SX6NBoVAgQJ6U1MVXOaj8PK2l7WJ3RER9xtqwdhxkhw/edit?usp=sharing"",""สิงห์บุรี!I22"")"),0)</f>
        <v>0</v>
      </c>
      <c r="J82" s="204">
        <f ca="1">IFERROR(__xludf.DUMMYFUNCTION("IMPORTRANGE(""https://docs.google.com/spreadsheets/d/1SX6NBoVAgQJ6U1MVXOaj8PK2l7WJ3RER9xtqwdhxkhw/edit?usp=sharing"",""สิงห์บุรี!J22"")"),0)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IFERROR(__xludf.DUMMYFUNCTION("IMPORTRANGE(""https://docs.google.com/spreadsheets/d/1SX6NBoVAgQJ6U1MVXOaj8PK2l7WJ3RER9xtqwdhxkhw/edit?usp=sharing"",""สิงห์บุรี!I23"")"),0)</f>
        <v>0</v>
      </c>
      <c r="J83" s="204">
        <f ca="1">IFERROR(__xludf.DUMMYFUNCTION("IMPORTRANGE(""https://docs.google.com/spreadsheets/d/1SX6NBoVAgQJ6U1MVXOaj8PK2l7WJ3RER9xtqwdhxkhw/edit?usp=sharing"",""สิงห์บุรี!J23"")"),0)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IFERROR(__xludf.DUMMYFUNCTION("IMPORTRANGE(""https://docs.google.com/spreadsheets/d/1SX6NBoVAgQJ6U1MVXOaj8PK2l7WJ3RER9xtqwdhxkhw/edit?usp=sharing"",""สิงห์บุรี!I24"")"),0)</f>
        <v>0</v>
      </c>
      <c r="J84" s="189">
        <f ca="1">IFERROR(__xludf.DUMMYFUNCTION("IMPORTRANGE(""https://docs.google.com/spreadsheets/d/1SX6NBoVAgQJ6U1MVXOaj8PK2l7WJ3RER9xtqwdhxkhw/edit?usp=sharing"",""สิงห์บุรี!J24"")"),0)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IFERROR(__xludf.DUMMYFUNCTION("IMPORTRANGE(""https://docs.google.com/spreadsheets/d/1SX6NBoVAgQJ6U1MVXOaj8PK2l7WJ3RER9xtqwdhxkhw/edit?usp=sharing"",""สิงห์บุรี!I25"")"),0)</f>
        <v>0</v>
      </c>
      <c r="J85" s="189">
        <f ca="1">IFERROR(__xludf.DUMMYFUNCTION("IMPORTRANGE(""https://docs.google.com/spreadsheets/d/1SX6NBoVAgQJ6U1MVXOaj8PK2l7WJ3RER9xtqwdhxkhw/edit?usp=sharing"",""สิงห์บุรี!J25"")"),0)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IFERROR(__xludf.DUMMYFUNCTION("IMPORTRANGE(""https://docs.google.com/spreadsheets/d/1SX6NBoVAgQJ6U1MVXOaj8PK2l7WJ3RER9xtqwdhxkhw/edit?usp=sharing"",""สิงห์บุรี!I26"")"),0)</f>
        <v>0</v>
      </c>
      <c r="J86" s="204">
        <f ca="1">IFERROR(__xludf.DUMMYFUNCTION("IMPORTRANGE(""https://docs.google.com/spreadsheets/d/1SX6NBoVAgQJ6U1MVXOaj8PK2l7WJ3RER9xtqwdhxkhw/edit?usp=sharing"",""สิงห์บุรี!J26"")"),0)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IFERROR(__xludf.DUMMYFUNCTION("IMPORTRANGE(""https://docs.google.com/spreadsheets/d/1SX6NBoVAgQJ6U1MVXOaj8PK2l7WJ3RER9xtqwdhxkhw/edit?usp=sharing"",""สิงห์บุรี!I27"")"),0)</f>
        <v>0</v>
      </c>
      <c r="J87" s="204">
        <f ca="1">IFERROR(__xludf.DUMMYFUNCTION("IMPORTRANGE(""https://docs.google.com/spreadsheets/d/1SX6NBoVAgQJ6U1MVXOaj8PK2l7WJ3RER9xtqwdhxkhw/edit?usp=sharing"",""สิงห์บุรี!J27"")"),0)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IFERROR(__xludf.DUMMYFUNCTION("IMPORTRANGE(""https://docs.google.com/spreadsheets/d/1SX6NBoVAgQJ6U1MVXOaj8PK2l7WJ3RER9xtqwdhxkhw/edit?usp=sharing"",""สิงห์บุรี!I28"")"),0)</f>
        <v>0</v>
      </c>
      <c r="J88" s="204">
        <f ca="1">IFERROR(__xludf.DUMMYFUNCTION("IMPORTRANGE(""https://docs.google.com/spreadsheets/d/1SX6NBoVAgQJ6U1MVXOaj8PK2l7WJ3RER9xtqwdhxkhw/edit?usp=sharing"",""สิงห์บุรี!J28"")"),0)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IFERROR(__xludf.DUMMYFUNCTION("IMPORTRANGE(""https://docs.google.com/spreadsheets/d/1SX6NBoVAgQJ6U1MVXOaj8PK2l7WJ3RER9xtqwdhxkhw/edit?usp=sharing"",""สิงห์บุรี!J29"")"),0)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IFERROR(__xludf.DUMMYFUNCTION("IMPORTRANGE(""https://docs.google.com/spreadsheets/d/1SX6NBoVAgQJ6U1MVXOaj8PK2l7WJ3RER9xtqwdhxkhw/edit?usp=sharing"",""สิงห์บุรี!J30"")"),0)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IFERROR(__xludf.DUMMYFUNCTION("IMPORTRANGE(""https://docs.google.com/spreadsheets/d/1SX6NBoVAgQJ6U1MVXOaj8PK2l7WJ3RER9xtqwdhxkhw/edit?usp=sharing"",""สิงห์บุรี!I32"")"),0)</f>
        <v>0</v>
      </c>
      <c r="J92" s="142">
        <f ca="1">IFERROR(__xludf.DUMMYFUNCTION("IMPORTRANGE(""https://docs.google.com/spreadsheets/d/1SX6NBoVAgQJ6U1MVXOaj8PK2l7WJ3RER9xtqwdhxkhw/edit?usp=sharing"",""สิงห์บุรี!J32"")"),0)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IFERROR(__xludf.DUMMYFUNCTION("IMPORTRANGE(""https://docs.google.com/spreadsheets/d/1SX6NBoVAgQJ6U1MVXOaj8PK2l7WJ3RER9xtqwdhxkhw/edit?usp=sharing"",""สิงห์บุรี!I33"")"),0)</f>
        <v>0</v>
      </c>
      <c r="J93" s="142">
        <f ca="1">IFERROR(__xludf.DUMMYFUNCTION("IMPORTRANGE(""https://docs.google.com/spreadsheets/d/1SX6NBoVAgQJ6U1MVXOaj8PK2l7WJ3RER9xtqwdhxkhw/edit?usp=sharing"",""สิงห์บุรี!J33"")"),0)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IFERROR(__xludf.DUMMYFUNCTION("IMPORTRANGE(""https://docs.google.com/spreadsheets/d/1Yj_ptqi66GCucihVvJfMjLAmec39IyEx_6qawtMGysU/edit?usp=sharing"",""สบก!AR77"")"),0)</f>
        <v>0</v>
      </c>
      <c r="N98" s="169">
        <f ca="1">IFERROR(__xludf.DUMMYFUNCTION("IMPORTRANGE(""https://docs.google.com/spreadsheets/d/1Yj_ptqi66GCucihVvJfMjLAmec39IyEx_6qawtMGysU/edit?usp=sharing"",""สบก!AS77"")"),0)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IFERROR(__xludf.DUMMYFUNCTION("IMPORTRANGE(""https://docs.google.com/spreadsheets/d/1Yj_ptqi66GCucihVvJfMjLAmec39IyEx_6qawtMGysU/edit?usp=sharing"",""สบก!AN77"")"),0)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IFERROR(__xludf.DUMMYFUNCTION("IMPORTRANGE(""https://docs.google.com/spreadsheets/d/1Yj_ptqi66GCucihVvJfMjLAmec39IyEx_6qawtMGysU/edit?usp=sharing"",""สบก!AO77"")"),0)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IFERROR(__xludf.DUMMYFUNCTION("IMPORTRANGE(""https://docs.google.com/spreadsheets/d/1Yj_ptqi66GCucihVvJfMjLAmec39IyEx_6qawtMGysU/edit?usp=sharing"",""สบก!AP77"")"),0)</f>
        <v>0</v>
      </c>
      <c r="M102" s="49"/>
      <c r="N102" s="49">
        <f ca="1">IFERROR(__xludf.DUMMYFUNCTION("IMPORTRANGE(""https://docs.google.com/spreadsheets/d/1Yj_ptqi66GCucihVvJfMjLAmec39IyEx_6qawtMGysU/edit?usp=sharing"",""สบก!AT77"")"),0)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IFERROR(__xludf.DUMMYFUNCTION("IMPORTRANGE(""https://docs.google.com/spreadsheets/d/1SX6NBoVAgQJ6U1MVXOaj8PK2l7WJ3RER9xtqwdhxkhw/edit?usp=sharing"",""สิงห์บุรี!J39"")"),0)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IFERROR(__xludf.DUMMYFUNCTION("IMPORTRANGE(""https://docs.google.com/spreadsheets/d/1SX6NBoVAgQJ6U1MVXOaj8PK2l7WJ3RER9xtqwdhxkhw/edit?usp=sharing"",""สิงห์บุรี!J40"")"),0)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IFERROR(__xludf.DUMMYFUNCTION("IMPORTRANGE(""https://docs.google.com/spreadsheets/d/1SX6NBoVAgQJ6U1MVXOaj8PK2l7WJ3RER9xtqwdhxkhw/edit?usp=sharing"",""สิงห์บุรี!J41"")"),0)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IFERROR(__xludf.DUMMYFUNCTION("IMPORTRANGE(""https://docs.google.com/spreadsheets/d/1SX6NBoVAgQJ6U1MVXOaj8PK2l7WJ3RER9xtqwdhxkhw/edit?usp=sharing"",""สิงห์บุรี!J42"")"),0)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IFERROR(__xludf.DUMMYFUNCTION("IMPORTRANGE(""https://docs.google.com/spreadsheets/d/1SX6NBoVAgQJ6U1MVXOaj8PK2l7WJ3RER9xtqwdhxkhw/edit?usp=sharing"",""สิงห์บุรี!I43"")"),0)</f>
        <v>0</v>
      </c>
      <c r="J108" s="204">
        <f ca="1">IFERROR(__xludf.DUMMYFUNCTION("IMPORTRANGE(""https://docs.google.com/spreadsheets/d/1SX6NBoVAgQJ6U1MVXOaj8PK2l7WJ3RER9xtqwdhxkhw/edit?usp=sharing"",""สิงห์บุรี!J43"")"),0)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IFERROR(__xludf.DUMMYFUNCTION("IMPORTRANGE(""https://docs.google.com/spreadsheets/d/1SX6NBoVAgQJ6U1MVXOaj8PK2l7WJ3RER9xtqwdhxkhw/edit?usp=sharing"",""สิงห์บุรี!I44"")"),0)</f>
        <v>0</v>
      </c>
      <c r="J109" s="204">
        <f ca="1">IFERROR(__xludf.DUMMYFUNCTION("IMPORTRANGE(""https://docs.google.com/spreadsheets/d/1SX6NBoVAgQJ6U1MVXOaj8PK2l7WJ3RER9xtqwdhxkhw/edit?usp=sharing"",""สิงห์บุรี!J44"")"),0)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IFERROR(__xludf.DUMMYFUNCTION("IMPORTRANGE(""https://docs.google.com/spreadsheets/d/1SX6NBoVAgQJ6U1MVXOaj8PK2l7WJ3RER9xtqwdhxkhw/edit?usp=sharing"",""สิงห์บุรี!I45"")"),0)</f>
        <v>0</v>
      </c>
      <c r="J110" s="204">
        <f ca="1">IFERROR(__xludf.DUMMYFUNCTION("IMPORTRANGE(""https://docs.google.com/spreadsheets/d/1SX6NBoVAgQJ6U1MVXOaj8PK2l7WJ3RER9xtqwdhxkhw/edit?usp=sharing"",""สิงห์บุรี!J45"")"),0)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IFERROR(__xludf.DUMMYFUNCTION("IMPORTRANGE(""https://docs.google.com/spreadsheets/d/1SX6NBoVAgQJ6U1MVXOaj8PK2l7WJ3RER9xtqwdhxkhw/edit?usp=sharing"",""สิงห์บุรี!I46"")"),0)</f>
        <v>0</v>
      </c>
      <c r="J111" s="204">
        <f ca="1">IFERROR(__xludf.DUMMYFUNCTION("IMPORTRANGE(""https://docs.google.com/spreadsheets/d/1SX6NBoVAgQJ6U1MVXOaj8PK2l7WJ3RER9xtqwdhxkhw/edit?usp=sharing"",""สิงห์บุรี!J46"")"),0)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IFERROR(__xludf.DUMMYFUNCTION("IMPORTRANGE(""https://docs.google.com/spreadsheets/d/1SX6NBoVAgQJ6U1MVXOaj8PK2l7WJ3RER9xtqwdhxkhw/edit?usp=sharing"",""สิงห์บุรี!I47"")"),0)</f>
        <v>0</v>
      </c>
      <c r="J112" s="204">
        <f ca="1">IFERROR(__xludf.DUMMYFUNCTION("IMPORTRANGE(""https://docs.google.com/spreadsheets/d/1SX6NBoVAgQJ6U1MVXOaj8PK2l7WJ3RER9xtqwdhxkhw/edit?usp=sharing"",""สิงห์บุรี!J47"")"),0)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IFERROR(__xludf.DUMMYFUNCTION("IMPORTRANGE(""https://docs.google.com/spreadsheets/d/1SX6NBoVAgQJ6U1MVXOaj8PK2l7WJ3RER9xtqwdhxkhw/edit?usp=sharing"",""สิงห์บุรี!I48"")"),0)</f>
        <v>0</v>
      </c>
      <c r="J113" s="204">
        <f ca="1">IFERROR(__xludf.DUMMYFUNCTION("IMPORTRANGE(""https://docs.google.com/spreadsheets/d/1SX6NBoVAgQJ6U1MVXOaj8PK2l7WJ3RER9xtqwdhxkhw/edit?usp=sharing"",""สิงห์บุรี!J48"")"),0)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IFERROR(__xludf.DUMMYFUNCTION("IMPORTRANGE(""https://docs.google.com/spreadsheets/d/1SX6NBoVAgQJ6U1MVXOaj8PK2l7WJ3RER9xtqwdhxkhw/edit?usp=sharing"",""สิงห์บุรี!J49"")"),0)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IFERROR(__xludf.DUMMYFUNCTION("IMPORTRANGE(""https://docs.google.com/spreadsheets/d/1SX6NBoVAgQJ6U1MVXOaj8PK2l7WJ3RER9xtqwdhxkhw/edit?usp=sharing"",""สิงห์บุรี!J50"")"),0)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IFERROR(__xludf.DUMMYFUNCTION("IMPORTRANGE(""https://docs.google.com/spreadsheets/d/1SX6NBoVAgQJ6U1MVXOaj8PK2l7WJ3RER9xtqwdhxkhw/edit?usp=sharing"",""สิงห์บุรี!I52"")"),0)</f>
        <v>0</v>
      </c>
      <c r="J117" s="142">
        <f ca="1">IFERROR(__xludf.DUMMYFUNCTION("IMPORTRANGE(""https://docs.google.com/spreadsheets/d/1SX6NBoVAgQJ6U1MVXOaj8PK2l7WJ3RER9xtqwdhxkhw/edit?usp=sharing"",""สิงห์บุรี!J52"")"),0)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IFERROR(__xludf.DUMMYFUNCTION("IMPORTRANGE(""https://docs.google.com/spreadsheets/d/1Yj_ptqi66GCucihVvJfMjLAmec39IyEx_6qawtMGysU/edit?usp=sharing"",""สบก!BA77"")"),0)</f>
        <v>0</v>
      </c>
      <c r="N122" s="169">
        <f ca="1">IFERROR(__xludf.DUMMYFUNCTION("IMPORTRANGE(""https://docs.google.com/spreadsheets/d/1Yj_ptqi66GCucihVvJfMjLAmec39IyEx_6qawtMGysU/edit?usp=sharing"",""สบก!BB77"")"),0)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IFERROR(__xludf.DUMMYFUNCTION("IMPORTRANGE(""https://docs.google.com/spreadsheets/d/1Yj_ptqi66GCucihVvJfMjLAmec39IyEx_6qawtMGysU/edit?usp=sharing"",""สบก!AW77"")"),0)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IFERROR(__xludf.DUMMYFUNCTION("IMPORTRANGE(""https://docs.google.com/spreadsheets/d/1Yj_ptqi66GCucihVvJfMjLAmec39IyEx_6qawtMGysU/edit?usp=sharing"",""สบก!AX77"")"),0)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IFERROR(__xludf.DUMMYFUNCTION("IMPORTRANGE(""https://docs.google.com/spreadsheets/d/1Yj_ptqi66GCucihVvJfMjLAmec39IyEx_6qawtMGysU/edit?usp=sharing"",""สบก!AY77"")"),0)</f>
        <v>0</v>
      </c>
      <c r="M126" s="49"/>
      <c r="N126" s="49">
        <f ca="1">IFERROR(__xludf.DUMMYFUNCTION("IMPORTRANGE(""https://docs.google.com/spreadsheets/d/1Yj_ptqi66GCucihVvJfMjLAmec39IyEx_6qawtMGysU/edit?usp=sharing"",""สบก!BC77"")"),0)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275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IFERROR(__xludf.DUMMYFUNCTION("IMPORTRANGE(""https://docs.google.com/spreadsheets/d/1SX6NBoVAgQJ6U1MVXOaj8PK2l7WJ3RER9xtqwdhxkhw/edit?usp=sharing"",""สิงห์บุรี!J58"")"),0)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IFERROR(__xludf.DUMMYFUNCTION("IMPORTRANGE(""https://docs.google.com/spreadsheets/d/1SX6NBoVAgQJ6U1MVXOaj8PK2l7WJ3RER9xtqwdhxkhw/edit?usp=sharing"",""สิงห์บุรี!J59"")"),0)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IFERROR(__xludf.DUMMYFUNCTION("IMPORTRANGE(""https://docs.google.com/spreadsheets/d/1SX6NBoVAgQJ6U1MVXOaj8PK2l7WJ3RER9xtqwdhxkhw/edit?usp=sharing"",""สิงห์บุรี!J60"")"),0)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IFERROR(__xludf.DUMMYFUNCTION("IMPORTRANGE(""https://docs.google.com/spreadsheets/d/1SX6NBoVAgQJ6U1MVXOaj8PK2l7WJ3RER9xtqwdhxkhw/edit?usp=sharing"",""สิงห์บุรี!J61"")"),0)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IFERROR(__xludf.DUMMYFUNCTION("IMPORTRANGE(""https://docs.google.com/spreadsheets/d/1SX6NBoVAgQJ6U1MVXOaj8PK2l7WJ3RER9xtqwdhxkhw/edit?usp=sharing"",""สิงห์บุรี!I62"")"),0)</f>
        <v>0</v>
      </c>
      <c r="J132" s="204">
        <f ca="1">IFERROR(__xludf.DUMMYFUNCTION("IMPORTRANGE(""https://docs.google.com/spreadsheets/d/1SX6NBoVAgQJ6U1MVXOaj8PK2l7WJ3RER9xtqwdhxkhw/edit?usp=sharing"",""สิงห์บุรี!J62"")"),0)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IFERROR(__xludf.DUMMYFUNCTION("IMPORTRANGE(""https://docs.google.com/spreadsheets/d/1SX6NBoVAgQJ6U1MVXOaj8PK2l7WJ3RER9xtqwdhxkhw/edit?usp=sharing"",""สิงห์บุรี!I63"")"),0)</f>
        <v>0</v>
      </c>
      <c r="J133" s="204">
        <f ca="1">IFERROR(__xludf.DUMMYFUNCTION("IMPORTRANGE(""https://docs.google.com/spreadsheets/d/1SX6NBoVAgQJ6U1MVXOaj8PK2l7WJ3RER9xtqwdhxkhw/edit?usp=sharing"",""สิงห์บุรี!J63"")"),0)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IFERROR(__xludf.DUMMYFUNCTION("IMPORTRANGE(""https://docs.google.com/spreadsheets/d/1SX6NBoVAgQJ6U1MVXOaj8PK2l7WJ3RER9xtqwdhxkhw/edit?usp=sharing"",""สิงห์บุรี!J64"")"),0)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IFERROR(__xludf.DUMMYFUNCTION("IMPORTRANGE(""https://docs.google.com/spreadsheets/d/1SX6NBoVAgQJ6U1MVXOaj8PK2l7WJ3RER9xtqwdhxkhw/edit?usp=sharing"",""สิงห์บุรี!J65"")"),0)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IFERROR(__xludf.DUMMYFUNCTION("IMPORTRANGE(""https://docs.google.com/spreadsheets/d/1SX6NBoVAgQJ6U1MVXOaj8PK2l7WJ3RER9xtqwdhxkhw/edit?usp=sharing"",""สิงห์บุรี!I68"")"),0)</f>
        <v>0</v>
      </c>
      <c r="J138" s="267">
        <f ca="1">IFERROR(__xludf.DUMMYFUNCTION("IMPORTRANGE(""https://docs.google.com/spreadsheets/d/1SX6NBoVAgQJ6U1MVXOaj8PK2l7WJ3RER9xtqwdhxkhw/edit?usp=sharing"",""สิงห์บุรี!J68"")"),0)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28700</v>
      </c>
      <c r="M140" s="152">
        <f t="shared" ca="1" si="64"/>
        <v>27625</v>
      </c>
      <c r="N140" s="152">
        <f t="shared" ca="1" si="64"/>
        <v>15500</v>
      </c>
      <c r="O140" s="151">
        <f t="shared" ref="O140:O142" ca="1" si="65">IF(L140&gt;0,N140*100/L140,0)</f>
        <v>54.00696864111498</v>
      </c>
      <c r="P140" s="151">
        <f t="shared" ref="P140:P142" ca="1" si="66">IF(M140&gt;0,N140*100/M140,0)</f>
        <v>56.108597285067873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28700</v>
      </c>
      <c r="M142" s="157">
        <f t="shared" ca="1" si="68"/>
        <v>27625</v>
      </c>
      <c r="N142" s="157">
        <f t="shared" ca="1" si="68"/>
        <v>15500</v>
      </c>
      <c r="O142" s="156">
        <f t="shared" ca="1" si="65"/>
        <v>54.00696864111498</v>
      </c>
      <c r="P142" s="156">
        <f t="shared" ca="1" si="66"/>
        <v>56.108597285067873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28700</v>
      </c>
      <c r="M144" s="168">
        <f ca="1">IFERROR(__xludf.DUMMYFUNCTION("IMPORTRANGE(""https://docs.google.com/spreadsheets/d/1Yj_ptqi66GCucihVvJfMjLAmec39IyEx_6qawtMGysU/edit?usp=sharing"",""สบก!BJ77"")"),27625)</f>
        <v>27625</v>
      </c>
      <c r="N144" s="169">
        <f ca="1">IFERROR(__xludf.DUMMYFUNCTION("IMPORTRANGE(""https://docs.google.com/spreadsheets/d/1Yj_ptqi66GCucihVvJfMjLAmec39IyEx_6qawtMGysU/edit?usp=sharing"",""สบก!BK77"")"),15500)</f>
        <v>15500</v>
      </c>
      <c r="O144" s="169">
        <f ca="1">IF(L144&gt;0,N144*100/L144,0)</f>
        <v>54.00696864111498</v>
      </c>
      <c r="P144" s="169">
        <f ca="1">IF(M144&gt;0,N144*100/M144,0)</f>
        <v>56.108597285067873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IFERROR(__xludf.DUMMYFUNCTION("IMPORTRANGE(""https://docs.google.com/spreadsheets/d/1Yj_ptqi66GCucihVvJfMjLAmec39IyEx_6qawtMGysU/edit?usp=sharing"",""สบก!BF77"")"),0)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IFERROR(__xludf.DUMMYFUNCTION("IMPORTRANGE(""https://docs.google.com/spreadsheets/d/1Yj_ptqi66GCucihVvJfMjLAmec39IyEx_6qawtMGysU/edit?usp=sharing"",""สบก!BG77"")"),28700)</f>
        <v>28700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IFERROR(__xludf.DUMMYFUNCTION("IMPORTRANGE(""https://docs.google.com/spreadsheets/d/1Yj_ptqi66GCucihVvJfMjLAmec39IyEx_6qawtMGysU/edit?usp=sharing"",""สบก!BH77"")"),0)</f>
        <v>0</v>
      </c>
      <c r="M148" s="49"/>
      <c r="N148" s="49">
        <f ca="1">IFERROR(__xludf.DUMMYFUNCTION("IMPORTRANGE(""https://docs.google.com/spreadsheets/d/1Yj_ptqi66GCucihVvJfMjLAmec39IyEx_6qawtMGysU/edit?usp=sharing"",""สบก!BL77"")"),0)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IFERROR(__xludf.DUMMYFUNCTION("IMPORTRANGE(""https://docs.google.com/spreadsheets/d/1SX6NBoVAgQJ6U1MVXOaj8PK2l7WJ3RER9xtqwdhxkhw/edit?usp=sharing"",""สิงห์บุรี!I74"")"),4)</f>
        <v>4</v>
      </c>
      <c r="J149" s="275">
        <f ca="1">IFERROR(__xludf.DUMMYFUNCTION("IMPORTRANGE(""https://docs.google.com/spreadsheets/d/1SX6NBoVAgQJ6U1MVXOaj8PK2l7WJ3RER9xtqwdhxkhw/edit?usp=sharing"",""สิงห์บุรี!J74"")"),1)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IFERROR(__xludf.DUMMYFUNCTION("IMPORTRANGE(""https://docs.google.com/spreadsheets/d/1SX6NBoVAgQJ6U1MVXOaj8PK2l7WJ3RER9xtqwdhxkhw/edit?usp=sharing"",""สิงห์บุรี!J79"")"),0)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IFERROR(__xludf.DUMMYFUNCTION("IMPORTRANGE(""https://docs.google.com/spreadsheets/d/1SX6NBoVAgQJ6U1MVXOaj8PK2l7WJ3RER9xtqwdhxkhw/edit?usp=sharing"",""สิงห์บุรี!J80"")"),1)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IFERROR(__xludf.DUMMYFUNCTION("IMPORTRANGE(""https://docs.google.com/spreadsheets/d/1SX6NBoVAgQJ6U1MVXOaj8PK2l7WJ3RER9xtqwdhxkhw/edit?usp=sharing"",""สิงห์บุรี!J81"")"),0)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IFERROR(__xludf.DUMMYFUNCTION("IMPORTRANGE(""https://docs.google.com/spreadsheets/d/1SX6NBoVAgQJ6U1MVXOaj8PK2l7WJ3RER9xtqwdhxkhw/edit?usp=sharing"",""สิงห์บุรี!J82"")"),1)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IFERROR(__xludf.DUMMYFUNCTION("IMPORTRANGE(""https://docs.google.com/spreadsheets/d/1SX6NBoVAgQJ6U1MVXOaj8PK2l7WJ3RER9xtqwdhxkhw/edit?usp=sharing"",""สิงห์บุรี!I83"")"),4)</f>
        <v>4</v>
      </c>
      <c r="J158" s="189">
        <f ca="1">IFERROR(__xludf.DUMMYFUNCTION("IMPORTRANGE(""https://docs.google.com/spreadsheets/d/1SX6NBoVAgQJ6U1MVXOaj8PK2l7WJ3RER9xtqwdhxkhw/edit?usp=sharing"",""สิงห์บุรี!J83"")"),1)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IFERROR(__xludf.DUMMYFUNCTION("IMPORTRANGE(""https://docs.google.com/spreadsheets/d/1SX6NBoVAgQJ6U1MVXOaj8PK2l7WJ3RER9xtqwdhxkhw/edit?usp=sharing"",""สิงห์บุรี!J84"")"),42)</f>
        <v>42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IFERROR(__xludf.DUMMYFUNCTION("IMPORTRANGE(""https://docs.google.com/spreadsheets/d/1SX6NBoVAgQJ6U1MVXOaj8PK2l7WJ3RER9xtqwdhxkhw/edit?usp=sharing"",""สิงห์บุรี!J85"")"),42)</f>
        <v>42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IFERROR(__xludf.DUMMYFUNCTION("IMPORTRANGE(""https://docs.google.com/spreadsheets/d/1SX6NBoVAgQJ6U1MVXOaj8PK2l7WJ3RER9xtqwdhxkhw/edit?usp=sharing"",""สิงห์บุรี!J86"")"),0)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IFERROR(__xludf.DUMMYFUNCTION("IMPORTRANGE(""https://docs.google.com/spreadsheets/d/1SX6NBoVAgQJ6U1MVXOaj8PK2l7WJ3RER9xtqwdhxkhw/edit?usp=sharing"",""สิงห์บุรี!J87"")"),0)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IFERROR(__xludf.DUMMYFUNCTION("IMPORTRANGE(""https://docs.google.com/spreadsheets/d/1SX6NBoVAgQJ6U1MVXOaj8PK2l7WJ3RER9xtqwdhxkhw/edit?usp=sharing"",""สิงห์บุรี!J88"")"),0)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IFERROR(__xludf.DUMMYFUNCTION("IMPORTRANGE(""https://docs.google.com/spreadsheets/d/1SX6NBoVAgQJ6U1MVXOaj8PK2l7WJ3RER9xtqwdhxkhw/edit?usp=sharing"",""สิงห์บุรี!I89"")"),1)</f>
        <v>1</v>
      </c>
      <c r="J164" s="284">
        <f ca="1">IFERROR(__xludf.DUMMYFUNCTION("IMPORTRANGE(""https://docs.google.com/spreadsheets/d/1SX6NBoVAgQJ6U1MVXOaj8PK2l7WJ3RER9xtqwdhxkhw/edit?usp=sharing"",""สิงห์บุรี!J89"")"),1)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IFERROR(__xludf.DUMMYFUNCTION("IMPORTRANGE(""https://docs.google.com/spreadsheets/d/1SX6NBoVAgQJ6U1MVXOaj8PK2l7WJ3RER9xtqwdhxkhw/edit?usp=sharing"",""สิงห์บุรี!J94"")"),0)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IFERROR(__xludf.DUMMYFUNCTION("IMPORTRANGE(""https://docs.google.com/spreadsheets/d/1SX6NBoVAgQJ6U1MVXOaj8PK2l7WJ3RER9xtqwdhxkhw/edit?usp=sharing"",""สิงห์บุรี!J95"")"),0)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IFERROR(__xludf.DUMMYFUNCTION("IMPORTRANGE(""https://docs.google.com/spreadsheets/d/1SX6NBoVAgQJ6U1MVXOaj8PK2l7WJ3RER9xtqwdhxkhw/edit?usp=sharing"",""สิงห์บุรี!J96"")"),0)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IFERROR(__xludf.DUMMYFUNCTION("IMPORTRANGE(""https://docs.google.com/spreadsheets/d/1SX6NBoVAgQJ6U1MVXOaj8PK2l7WJ3RER9xtqwdhxkhw/edit?usp=sharing"",""สิงห์บุรี!J97"")"),0)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IFERROR(__xludf.DUMMYFUNCTION("IMPORTRANGE(""https://docs.google.com/spreadsheets/d/1SX6NBoVAgQJ6U1MVXOaj8PK2l7WJ3RER9xtqwdhxkhw/edit?usp=sharing"",""สิงห์บุรี!I98"")"),1)</f>
        <v>1</v>
      </c>
      <c r="J173" s="189">
        <f ca="1">IFERROR(__xludf.DUMMYFUNCTION("IMPORTRANGE(""https://docs.google.com/spreadsheets/d/1SX6NBoVAgQJ6U1MVXOaj8PK2l7WJ3RER9xtqwdhxkhw/edit?usp=sharing"",""สิงห์บุรี!J98"")"),1)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IFERROR(__xludf.DUMMYFUNCTION("IMPORTRANGE(""https://docs.google.com/spreadsheets/d/1SX6NBoVAgQJ6U1MVXOaj8PK2l7WJ3RER9xtqwdhxkhw/edit?usp=sharing"",""สิงห์บุรี!J99"")"),1)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IFERROR(__xludf.DUMMYFUNCTION("IMPORTRANGE(""https://docs.google.com/spreadsheets/d/1SX6NBoVAgQJ6U1MVXOaj8PK2l7WJ3RER9xtqwdhxkhw/edit?usp=sharing"",""สิงห์บุรี!J100"")"),1)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IFERROR(__xludf.DUMMYFUNCTION("IMPORTRANGE(""https://docs.google.com/spreadsheets/d/1SX6NBoVAgQJ6U1MVXOaj8PK2l7WJ3RER9xtqwdhxkhw/edit?usp=sharing"",""สิงห์บุรี!I101"")"),0)</f>
        <v>0</v>
      </c>
      <c r="J176" s="284">
        <f ca="1">IFERROR(__xludf.DUMMYFUNCTION("IMPORTRANGE(""https://docs.google.com/spreadsheets/d/1SX6NBoVAgQJ6U1MVXOaj8PK2l7WJ3RER9xtqwdhxkhw/edit?usp=sharing"",""สิงห์บุรี!J101"")"),0)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IFERROR(__xludf.DUMMYFUNCTION("IMPORTRANGE(""https://docs.google.com/spreadsheets/d/1SX6NBoVAgQJ6U1MVXOaj8PK2l7WJ3RER9xtqwdhxkhw/edit?usp=sharing"",""สิงห์บุรี!J106"")"),0)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IFERROR(__xludf.DUMMYFUNCTION("IMPORTRANGE(""https://docs.google.com/spreadsheets/d/1SX6NBoVAgQJ6U1MVXOaj8PK2l7WJ3RER9xtqwdhxkhw/edit?usp=sharing"",""สิงห์บุรี!J107"")"),0)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IFERROR(__xludf.DUMMYFUNCTION("IMPORTRANGE(""https://docs.google.com/spreadsheets/d/1SX6NBoVAgQJ6U1MVXOaj8PK2l7WJ3RER9xtqwdhxkhw/edit?usp=sharing"",""สิงห์บุรี!J108"")"),0)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IFERROR(__xludf.DUMMYFUNCTION("IMPORTRANGE(""https://docs.google.com/spreadsheets/d/1SX6NBoVAgQJ6U1MVXOaj8PK2l7WJ3RER9xtqwdhxkhw/edit?usp=sharing"",""สิงห์บุรี!J109"")"),0)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IFERROR(__xludf.DUMMYFUNCTION("IMPORTRANGE(""https://docs.google.com/spreadsheets/d/1SX6NBoVAgQJ6U1MVXOaj8PK2l7WJ3RER9xtqwdhxkhw/edit?usp=sharing"",""สิงห์บุรี!I110"")"),0)</f>
        <v>0</v>
      </c>
      <c r="J185" s="204">
        <f ca="1">IFERROR(__xludf.DUMMYFUNCTION("IMPORTRANGE(""https://docs.google.com/spreadsheets/d/1SX6NBoVAgQJ6U1MVXOaj8PK2l7WJ3RER9xtqwdhxkhw/edit?usp=sharing"",""สิงห์บุรี!J110"")"),0)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IFERROR(__xludf.DUMMYFUNCTION("IMPORTRANGE(""https://docs.google.com/spreadsheets/d/1SX6NBoVAgQJ6U1MVXOaj8PK2l7WJ3RER9xtqwdhxkhw/edit?usp=sharing"",""สิงห์บุรี!I111"")"),0)</f>
        <v>0</v>
      </c>
      <c r="J186" s="204">
        <f ca="1">IFERROR(__xludf.DUMMYFUNCTION("IMPORTRANGE(""https://docs.google.com/spreadsheets/d/1SX6NBoVAgQJ6U1MVXOaj8PK2l7WJ3RER9xtqwdhxkhw/edit?usp=sharing"",""สิงห์บุรี!J111"")"),0)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IFERROR(__xludf.DUMMYFUNCTION("IMPORTRANGE(""https://docs.google.com/spreadsheets/d/1SX6NBoVAgQJ6U1MVXOaj8PK2l7WJ3RER9xtqwdhxkhw/edit?usp=sharing"",""สิงห์บุรี!J112"")"),0)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IFERROR(__xludf.DUMMYFUNCTION("IMPORTRANGE(""https://docs.google.com/spreadsheets/d/1SX6NBoVAgQJ6U1MVXOaj8PK2l7WJ3RER9xtqwdhxkhw/edit?usp=sharing"",""สิงห์บุรี!J113"")"),0)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IFERROR(__xludf.DUMMYFUNCTION("IMPORTRANGE(""https://docs.google.com/spreadsheets/d/1SX6NBoVAgQJ6U1MVXOaj8PK2l7WJ3RER9xtqwdhxkhw/edit?usp=sharing"",""สิงห์บุรี!I114"")"),8000)</f>
        <v>8000</v>
      </c>
      <c r="J189" s="284">
        <f ca="1">IFERROR(__xludf.DUMMYFUNCTION("IMPORTRANGE(""https://docs.google.com/spreadsheets/d/1SX6NBoVAgQJ6U1MVXOaj8PK2l7WJ3RER9xtqwdhxkhw/edit?usp=sharing"",""สิงห์บุรี!J114"")"),0)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IFERROR(__xludf.DUMMYFUNCTION("IMPORTRANGE(""https://docs.google.com/spreadsheets/d/1SX6NBoVAgQJ6U1MVXOaj8PK2l7WJ3RER9xtqwdhxkhw/edit?usp=sharing"",""สิงห์บุรี!J119"")"),1)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IFERROR(__xludf.DUMMYFUNCTION("IMPORTRANGE(""https://docs.google.com/spreadsheets/d/1SX6NBoVAgQJ6U1MVXOaj8PK2l7WJ3RER9xtqwdhxkhw/edit?usp=sharing"",""สิงห์บุรี!J120"")"),0)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IFERROR(__xludf.DUMMYFUNCTION("IMPORTRANGE(""https://docs.google.com/spreadsheets/d/1SX6NBoVAgQJ6U1MVXOaj8PK2l7WJ3RER9xtqwdhxkhw/edit?usp=sharing"",""สิงห์บุรี!J121"")"),0)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IFERROR(__xludf.DUMMYFUNCTION("IMPORTRANGE(""https://docs.google.com/spreadsheets/d/1SX6NBoVAgQJ6U1MVXOaj8PK2l7WJ3RER9xtqwdhxkhw/edit?usp=sharing"",""สิงห์บุรี!J122"")"),0)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IFERROR(__xludf.DUMMYFUNCTION("IMPORTRANGE(""https://docs.google.com/spreadsheets/d/1SX6NBoVAgQJ6U1MVXOaj8PK2l7WJ3RER9xtqwdhxkhw/edit?usp=sharing"",""สิงห์บุรี!I124"")"),8000)</f>
        <v>8000</v>
      </c>
      <c r="J199" s="189">
        <f ca="1">IFERROR(__xludf.DUMMYFUNCTION("IMPORTRANGE(""https://docs.google.com/spreadsheets/d/1SX6NBoVAgQJ6U1MVXOaj8PK2l7WJ3RER9xtqwdhxkhw/edit?usp=sharing"",""สิงห์บุรี!J124"")"),0)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IFERROR(__xludf.DUMMYFUNCTION("IMPORTRANGE(""https://docs.google.com/spreadsheets/d/1SX6NBoVAgQJ6U1MVXOaj8PK2l7WJ3RER9xtqwdhxkhw/edit?usp=sharing"",""สิงห์บุรี!I125"")"),8000)</f>
        <v>8000</v>
      </c>
      <c r="J200" s="189">
        <f ca="1">IFERROR(__xludf.DUMMYFUNCTION("IMPORTRANGE(""https://docs.google.com/spreadsheets/d/1SX6NBoVAgQJ6U1MVXOaj8PK2l7WJ3RER9xtqwdhxkhw/edit?usp=sharing"",""สิงห์บุรี!J125"")"),0)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IFERROR(__xludf.DUMMYFUNCTION("IMPORTRANGE(""https://docs.google.com/spreadsheets/d/1SX6NBoVAgQJ6U1MVXOaj8PK2l7WJ3RER9xtqwdhxkhw/edit?usp=sharing"",""สิงห์บุรี!I126"")"),0)</f>
        <v>0</v>
      </c>
      <c r="J201" s="189">
        <f ca="1">IFERROR(__xludf.DUMMYFUNCTION("IMPORTRANGE(""https://docs.google.com/spreadsheets/d/1SX6NBoVAgQJ6U1MVXOaj8PK2l7WJ3RER9xtqwdhxkhw/edit?usp=sharing"",""สิงห์บุรี!J126"")"),0)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IFERROR(__xludf.DUMMYFUNCTION("IMPORTRANGE(""https://docs.google.com/spreadsheets/d/1SX6NBoVAgQJ6U1MVXOaj8PK2l7WJ3RER9xtqwdhxkhw/edit?usp=sharing"",""สิงห์บุรี!J127"")"),0)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IFERROR(__xludf.DUMMYFUNCTION("IMPORTRANGE(""https://docs.google.com/spreadsheets/d/1SX6NBoVAgQJ6U1MVXOaj8PK2l7WJ3RER9xtqwdhxkhw/edit?usp=sharing"",""สิงห์บุรี!J128"")"),0)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IFERROR(__xludf.DUMMYFUNCTION("IMPORTRANGE(""https://docs.google.com/spreadsheets/d/1SX6NBoVAgQJ6U1MVXOaj8PK2l7WJ3RER9xtqwdhxkhw/edit?usp=sharing"",""สิงห์บุรี!I129"")"),0)</f>
        <v>0</v>
      </c>
      <c r="J204" s="284">
        <f ca="1">IFERROR(__xludf.DUMMYFUNCTION("IMPORTRANGE(""https://docs.google.com/spreadsheets/d/1SX6NBoVAgQJ6U1MVXOaj8PK2l7WJ3RER9xtqwdhxkhw/edit?usp=sharing"",""สิงห์บุรี!J129"")"),0)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IFERROR(__xludf.DUMMYFUNCTION("IMPORTRANGE(""https://docs.google.com/spreadsheets/d/1SX6NBoVAgQJ6U1MVXOaj8PK2l7WJ3RER9xtqwdhxkhw/edit?usp=sharing"",""สิงห์บุรี!J134"")"),0)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IFERROR(__xludf.DUMMYFUNCTION("IMPORTRANGE(""https://docs.google.com/spreadsheets/d/1SX6NBoVAgQJ6U1MVXOaj8PK2l7WJ3RER9xtqwdhxkhw/edit?usp=sharing"",""สิงห์บุรี!J135"")"),0)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IFERROR(__xludf.DUMMYFUNCTION("IMPORTRANGE(""https://docs.google.com/spreadsheets/d/1SX6NBoVAgQJ6U1MVXOaj8PK2l7WJ3RER9xtqwdhxkhw/edit?usp=sharing"",""สิงห์บุรี!J136"")"),0)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IFERROR(__xludf.DUMMYFUNCTION("IMPORTRANGE(""https://docs.google.com/spreadsheets/d/1SX6NBoVAgQJ6U1MVXOaj8PK2l7WJ3RER9xtqwdhxkhw/edit?usp=sharing"",""สิงห์บุรี!J137"")"),0)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IFERROR(__xludf.DUMMYFUNCTION("IMPORTRANGE(""https://docs.google.com/spreadsheets/d/1SX6NBoVAgQJ6U1MVXOaj8PK2l7WJ3RER9xtqwdhxkhw/edit?usp=sharing"",""สิงห์บุรี!I138"")"),0)</f>
        <v>0</v>
      </c>
      <c r="J213" s="204">
        <f ca="1">IFERROR(__xludf.DUMMYFUNCTION("IMPORTRANGE(""https://docs.google.com/spreadsheets/d/1SX6NBoVAgQJ6U1MVXOaj8PK2l7WJ3RER9xtqwdhxkhw/edit?usp=sharing"",""สิงห์บุรี!J138"")"),0)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IFERROR(__xludf.DUMMYFUNCTION("IMPORTRANGE(""https://docs.google.com/spreadsheets/d/1SX6NBoVAgQJ6U1MVXOaj8PK2l7WJ3RER9xtqwdhxkhw/edit?usp=sharing"",""สิงห์บุรี!I140"")"),0)</f>
        <v>0</v>
      </c>
      <c r="J215" s="204">
        <f ca="1">IFERROR(__xludf.DUMMYFUNCTION("IMPORTRANGE(""https://docs.google.com/spreadsheets/d/1SX6NBoVAgQJ6U1MVXOaj8PK2l7WJ3RER9xtqwdhxkhw/edit?usp=sharing"",""สิงห์บุรี!J140"")"),0)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IFERROR(__xludf.DUMMYFUNCTION("IMPORTRANGE(""https://docs.google.com/spreadsheets/d/1SX6NBoVAgQJ6U1MVXOaj8PK2l7WJ3RER9xtqwdhxkhw/edit?usp=sharing"",""สิงห์บุรี!I141"")"),0)</f>
        <v>0</v>
      </c>
      <c r="J216" s="204">
        <f ca="1">IFERROR(__xludf.DUMMYFUNCTION("IMPORTRANGE(""https://docs.google.com/spreadsheets/d/1SX6NBoVAgQJ6U1MVXOaj8PK2l7WJ3RER9xtqwdhxkhw/edit?usp=sharing"",""สิงห์บุรี!J141"")"),0)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IFERROR(__xludf.DUMMYFUNCTION("IMPORTRANGE(""https://docs.google.com/spreadsheets/d/1SX6NBoVAgQJ6U1MVXOaj8PK2l7WJ3RER9xtqwdhxkhw/edit?usp=sharing"",""สิงห์บุรี!J142"")"),0)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IFERROR(__xludf.DUMMYFUNCTION("IMPORTRANGE(""https://docs.google.com/spreadsheets/d/1SX6NBoVAgQJ6U1MVXOaj8PK2l7WJ3RER9xtqwdhxkhw/edit?usp=sharing"",""สิงห์บุรี!J143"")"),0)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IFERROR(__xludf.DUMMYFUNCTION("IMPORTRANGE(""https://docs.google.com/spreadsheets/d/1SX6NBoVAgQJ6U1MVXOaj8PK2l7WJ3RER9xtqwdhxkhw/edit?usp=sharing"",""สิงห์บุรี!I144"")"),13)</f>
        <v>13</v>
      </c>
      <c r="J219" s="267">
        <f ca="1">IFERROR(__xludf.DUMMYFUNCTION("IMPORTRANGE(""https://docs.google.com/spreadsheets/d/1SX6NBoVAgQJ6U1MVXOaj8PK2l7WJ3RER9xtqwdhxkhw/edit?usp=sharing"",""สิงห์บุรี!J144"")"),13)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IFERROR(__xludf.DUMMYFUNCTION("IMPORTRANGE(""https://docs.google.com/spreadsheets/d/1Yj_ptqi66GCucihVvJfMjLAmec39IyEx_6qawtMGysU/edit?usp=sharing"",""สบก!BS77"")"),19295)</f>
        <v>19295</v>
      </c>
      <c r="N224" s="169">
        <f ca="1">IFERROR(__xludf.DUMMYFUNCTION("IMPORTRANGE(""https://docs.google.com/spreadsheets/d/1Yj_ptqi66GCucihVvJfMjLAmec39IyEx_6qawtMGysU/edit?usp=sharing"",""สบก!BT77"")"),19295)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IFERROR(__xludf.DUMMYFUNCTION("IMPORTRANGE(""https://docs.google.com/spreadsheets/d/1Yj_ptqi66GCucihVvJfMjLAmec39IyEx_6qawtMGysU/edit?usp=sharing"",""สบก!BO77"")"),0)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IFERROR(__xludf.DUMMYFUNCTION("IMPORTRANGE(""https://docs.google.com/spreadsheets/d/1Yj_ptqi66GCucihVvJfMjLAmec39IyEx_6qawtMGysU/edit?usp=sharing"",""สบก!BP77"")"),19295)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IFERROR(__xludf.DUMMYFUNCTION("IMPORTRANGE(""https://docs.google.com/spreadsheets/d/1Yj_ptqi66GCucihVvJfMjLAmec39IyEx_6qawtMGysU/edit?usp=sharing"",""สบก!BQ77"")"),0)</f>
        <v>0</v>
      </c>
      <c r="M228" s="49"/>
      <c r="N228" s="49">
        <f ca="1">IFERROR(__xludf.DUMMYFUNCTION("IMPORTRANGE(""https://docs.google.com/spreadsheets/d/1Yj_ptqi66GCucihVvJfMjLAmec39IyEx_6qawtMGysU/edit?usp=sharing"",""สบก!BU77"")"),0)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IFERROR(__xludf.DUMMYFUNCTION("IMPORTRANGE(""https://docs.google.com/spreadsheets/d/1SX6NBoVAgQJ6U1MVXOaj8PK2l7WJ3RER9xtqwdhxkhw/edit?usp=sharing"",""สิงห์บุรี!I149"")"),13)</f>
        <v>13</v>
      </c>
      <c r="J229" s="267">
        <f ca="1">IFERROR(__xludf.DUMMYFUNCTION("IMPORTRANGE(""https://docs.google.com/spreadsheets/d/1SX6NBoVAgQJ6U1MVXOaj8PK2l7WJ3RER9xtqwdhxkhw/edit?usp=sharing"",""สิงห์บุรี!J149"")"),13)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IFERROR(__xludf.DUMMYFUNCTION("IMPORTRANGE(""https://docs.google.com/spreadsheets/d/1SX6NBoVAgQJ6U1MVXOaj8PK2l7WJ3RER9xtqwdhxkhw/edit?usp=sharing"",""สิงห์บุรี!J151"")"),0)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IFERROR(__xludf.DUMMYFUNCTION("IMPORTRANGE(""https://docs.google.com/spreadsheets/d/1SX6NBoVAgQJ6U1MVXOaj8PK2l7WJ3RER9xtqwdhxkhw/edit?usp=sharing"",""สิงห์บุรี!J152"")"),0)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IFERROR(__xludf.DUMMYFUNCTION("IMPORTRANGE(""https://docs.google.com/spreadsheets/d/1SX6NBoVAgQJ6U1MVXOaj8PK2l7WJ3RER9xtqwdhxkhw/edit?usp=sharing"",""สิงห์บุรี!J153"")"),0)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IFERROR(__xludf.DUMMYFUNCTION("IMPORTRANGE(""https://docs.google.com/spreadsheets/d/1SX6NBoVAgQJ6U1MVXOaj8PK2l7WJ3RER9xtqwdhxkhw/edit?usp=sharing"",""สิงห์บุรี!J154"")"),0)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IFERROR(__xludf.DUMMYFUNCTION("IMPORTRANGE(""https://docs.google.com/spreadsheets/d/1SX6NBoVAgQJ6U1MVXOaj8PK2l7WJ3RER9xtqwdhxkhw/edit?usp=sharing"",""สิงห์บุรี!I155"")"),13)</f>
        <v>13</v>
      </c>
      <c r="J235" s="189">
        <f ca="1">IFERROR(__xludf.DUMMYFUNCTION("IMPORTRANGE(""https://docs.google.com/spreadsheets/d/1SX6NBoVAgQJ6U1MVXOaj8PK2l7WJ3RER9xtqwdhxkhw/edit?usp=sharing"",""สิงห์บุรี!J155"")"),13)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IFERROR(__xludf.DUMMYFUNCTION("IMPORTRANGE(""https://docs.google.com/spreadsheets/d/1SX6NBoVAgQJ6U1MVXOaj8PK2l7WJ3RER9xtqwdhxkhw/edit?usp=sharing"",""สิงห์บุรี!J156"")"),1)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IFERROR(__xludf.DUMMYFUNCTION("IMPORTRANGE(""https://docs.google.com/spreadsheets/d/1SX6NBoVAgQJ6U1MVXOaj8PK2l7WJ3RER9xtqwdhxkhw/edit?usp=sharing"",""สิงห์บุรี!J157"")"),1)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IFERROR(__xludf.DUMMYFUNCTION("IMPORTRANGE(""https://docs.google.com/spreadsheets/d/1SX6NBoVAgQJ6U1MVXOaj8PK2l7WJ3RER9xtqwdhxkhw/edit?usp=sharing"",""สิงห์บุรี!I158"")"),0)</f>
        <v>0</v>
      </c>
      <c r="J238" s="267">
        <f ca="1">IFERROR(__xludf.DUMMYFUNCTION("IMPORTRANGE(""https://docs.google.com/spreadsheets/d/1SX6NBoVAgQJ6U1MVXOaj8PK2l7WJ3RER9xtqwdhxkhw/edit?usp=sharing"",""สิงห์บุรี!J158"")"),0)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IFERROR(__xludf.DUMMYFUNCTION("IMPORTRANGE(""https://docs.google.com/spreadsheets/d/1SX6NBoVAgQJ6U1MVXOaj8PK2l7WJ3RER9xtqwdhxkhw/edit?usp=sharing"",""สิงห์บุรี!J159"")"),"")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IFERROR(__xludf.DUMMYFUNCTION("IMPORTRANGE(""https://docs.google.com/spreadsheets/d/1SX6NBoVAgQJ6U1MVXOaj8PK2l7WJ3RER9xtqwdhxkhw/edit?usp=sharing"",""สิงห์บุรี!J161"")"),0)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IFERROR(__xludf.DUMMYFUNCTION("IMPORTRANGE(""https://docs.google.com/spreadsheets/d/1SX6NBoVAgQJ6U1MVXOaj8PK2l7WJ3RER9xtqwdhxkhw/edit?usp=sharing"",""สิงห์บุรี!J162"")"),0)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IFERROR(__xludf.DUMMYFUNCTION("IMPORTRANGE(""https://docs.google.com/spreadsheets/d/1SX6NBoVAgQJ6U1MVXOaj8PK2l7WJ3RER9xtqwdhxkhw/edit?usp=sharing"",""สิงห์บุรี!J163"")"),0)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IFERROR(__xludf.DUMMYFUNCTION("IMPORTRANGE(""https://docs.google.com/spreadsheets/d/1SX6NBoVAgQJ6U1MVXOaj8PK2l7WJ3RER9xtqwdhxkhw/edit?usp=sharing"",""สิงห์บุรี!I164"")"),0)</f>
        <v>0</v>
      </c>
      <c r="J244" s="188">
        <f ca="1">IFERROR(__xludf.DUMMYFUNCTION("IMPORTRANGE(""https://docs.google.com/spreadsheets/d/1SX6NBoVAgQJ6U1MVXOaj8PK2l7WJ3RER9xtqwdhxkhw/edit?usp=sharing"",""สิงห์บุรี!J164"")"),0)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IFERROR(__xludf.DUMMYFUNCTION("IMPORTRANGE(""https://docs.google.com/spreadsheets/d/1SX6NBoVAgQJ6U1MVXOaj8PK2l7WJ3RER9xtqwdhxkhw/edit?usp=sharing"",""สิงห์บุรี!J165"")"),0)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IFERROR(__xludf.DUMMYFUNCTION("IMPORTRANGE(""https://docs.google.com/spreadsheets/d/1SX6NBoVAgQJ6U1MVXOaj8PK2l7WJ3RER9xtqwdhxkhw/edit?usp=sharing"",""สิงห์บุรี!J166"")"),0)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IFERROR(__xludf.DUMMYFUNCTION("IMPORTRANGE(""https://docs.google.com/spreadsheets/d/1SX6NBoVAgQJ6U1MVXOaj8PK2l7WJ3RER9xtqwdhxkhw/edit?usp=sharing"",""สิงห์บุรี!I169"")"),0)</f>
        <v>0</v>
      </c>
      <c r="J249" s="316">
        <f ca="1">IFERROR(__xludf.DUMMYFUNCTION("IMPORTRANGE(""https://docs.google.com/spreadsheets/d/1SX6NBoVAgQJ6U1MVXOaj8PK2l7WJ3RER9xtqwdhxkhw/edit?usp=sharing"",""สิงห์บุรี!J169"")"),0)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IFERROR(__xludf.DUMMYFUNCTION("IMPORTRANGE(""https://docs.google.com/spreadsheets/d/1Yj_ptqi66GCucihVvJfMjLAmec39IyEx_6qawtMGysU/edit?usp=sharing"",""สบก!CB77"")"),0)</f>
        <v>0</v>
      </c>
      <c r="N254" s="169">
        <f ca="1">IFERROR(__xludf.DUMMYFUNCTION("IMPORTRANGE(""https://docs.google.com/spreadsheets/d/1Yj_ptqi66GCucihVvJfMjLAmec39IyEx_6qawtMGysU/edit?usp=sharing"",""สบก!CC77"")"),0)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IFERROR(__xludf.DUMMYFUNCTION("IMPORTRANGE(""https://docs.google.com/spreadsheets/d/1Yj_ptqi66GCucihVvJfMjLAmec39IyEx_6qawtMGysU/edit?usp=sharing"",""สบก!BX77"")"),0)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IFERROR(__xludf.DUMMYFUNCTION("IMPORTRANGE(""https://docs.google.com/spreadsheets/d/1Yj_ptqi66GCucihVvJfMjLAmec39IyEx_6qawtMGysU/edit?usp=sharing"",""สบก!BY77"")"),0)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IFERROR(__xludf.DUMMYFUNCTION("IMPORTRANGE(""https://docs.google.com/spreadsheets/d/1Yj_ptqi66GCucihVvJfMjLAmec39IyEx_6qawtMGysU/edit?usp=sharing"",""สบก!BZ77"")"),0)</f>
        <v>0</v>
      </c>
      <c r="M258" s="49"/>
      <c r="N258" s="49">
        <f ca="1">IFERROR(__xludf.DUMMYFUNCTION("IMPORTRANGE(""https://docs.google.com/spreadsheets/d/1Yj_ptqi66GCucihVvJfMjLAmec39IyEx_6qawtMGysU/edit?usp=sharing"",""สบก!CD77"")"),0)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IFERROR(__xludf.DUMMYFUNCTION("IMPORTRANGE(""https://docs.google.com/spreadsheets/d/1SX6NBoVAgQJ6U1MVXOaj8PK2l7WJ3RER9xtqwdhxkhw/edit?usp=sharing"",""สิงห์บุรี!J175"")"),0)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IFERROR(__xludf.DUMMYFUNCTION("IMPORTRANGE(""https://docs.google.com/spreadsheets/d/1SX6NBoVAgQJ6U1MVXOaj8PK2l7WJ3RER9xtqwdhxkhw/edit?usp=sharing"",""สิงห์บุรี!J176"")"),0)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IFERROR(__xludf.DUMMYFUNCTION("IMPORTRANGE(""https://docs.google.com/spreadsheets/d/1SX6NBoVAgQJ6U1MVXOaj8PK2l7WJ3RER9xtqwdhxkhw/edit?usp=sharing"",""สิงห์บุรี!J177"")"),0)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IFERROR(__xludf.DUMMYFUNCTION("IMPORTRANGE(""https://docs.google.com/spreadsheets/d/1SX6NBoVAgQJ6U1MVXOaj8PK2l7WJ3RER9xtqwdhxkhw/edit?usp=sharing"",""สิงห์บุรี!J178"")"),0)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IFERROR(__xludf.DUMMYFUNCTION("IMPORTRANGE(""https://docs.google.com/spreadsheets/d/1SX6NBoVAgQJ6U1MVXOaj8PK2l7WJ3RER9xtqwdhxkhw/edit?usp=sharing"",""สิงห์บุรี!I179"")"),0)</f>
        <v>0</v>
      </c>
      <c r="J264" s="189">
        <f ca="1">IFERROR(__xludf.DUMMYFUNCTION("IMPORTRANGE(""https://docs.google.com/spreadsheets/d/1SX6NBoVAgQJ6U1MVXOaj8PK2l7WJ3RER9xtqwdhxkhw/edit?usp=sharing"",""สิงห์บุรี!J179"")"),0)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IFERROR(__xludf.DUMMYFUNCTION("IMPORTRANGE(""https://docs.google.com/spreadsheets/d/1SX6NBoVAgQJ6U1MVXOaj8PK2l7WJ3RER9xtqwdhxkhw/edit?usp=sharing"",""สิงห์บุรี!I180"")"),0)</f>
        <v>0</v>
      </c>
      <c r="J265" s="189">
        <f ca="1">IFERROR(__xludf.DUMMYFUNCTION("IMPORTRANGE(""https://docs.google.com/spreadsheets/d/1SX6NBoVAgQJ6U1MVXOaj8PK2l7WJ3RER9xtqwdhxkhw/edit?usp=sharing"",""สิงห์บุรี!J180"")"),0)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IFERROR(__xludf.DUMMYFUNCTION("IMPORTRANGE(""https://docs.google.com/spreadsheets/d/1SX6NBoVAgQJ6U1MVXOaj8PK2l7WJ3RER9xtqwdhxkhw/edit?usp=sharing"",""สิงห์บุรี!I181"")"),0)</f>
        <v>0</v>
      </c>
      <c r="J266" s="189">
        <f ca="1">IFERROR(__xludf.DUMMYFUNCTION("IMPORTRANGE(""https://docs.google.com/spreadsheets/d/1SX6NBoVAgQJ6U1MVXOaj8PK2l7WJ3RER9xtqwdhxkhw/edit?usp=sharing"",""สิงห์บุรี!J181"")"),0)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IFERROR(__xludf.DUMMYFUNCTION("IMPORTRANGE(""https://docs.google.com/spreadsheets/d/1SX6NBoVAgQJ6U1MVXOaj8PK2l7WJ3RER9xtqwdhxkhw/edit?usp=sharing"",""สิงห์บุรี!I182"")"),0)</f>
        <v>0</v>
      </c>
      <c r="J267" s="189">
        <f ca="1">IFERROR(__xludf.DUMMYFUNCTION("IMPORTRANGE(""https://docs.google.com/spreadsheets/d/1SX6NBoVAgQJ6U1MVXOaj8PK2l7WJ3RER9xtqwdhxkhw/edit?usp=sharing"",""สิงห์บุรี!J182"")"),0)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IFERROR(__xludf.DUMMYFUNCTION("IMPORTRANGE(""https://docs.google.com/spreadsheets/d/1SX6NBoVAgQJ6U1MVXOaj8PK2l7WJ3RER9xtqwdhxkhw/edit?usp=sharing"",""สิงห์บุรี!J183"")"),0)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IFERROR(__xludf.DUMMYFUNCTION("IMPORTRANGE(""https://docs.google.com/spreadsheets/d/1SX6NBoVAgQJ6U1MVXOaj8PK2l7WJ3RER9xtqwdhxkhw/edit?usp=sharing"",""สิงห์บุรี!J184"")"),0)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IFERROR(__xludf.DUMMYFUNCTION("IMPORTRANGE(""https://docs.google.com/spreadsheets/d/1SX6NBoVAgQJ6U1MVXOaj8PK2l7WJ3RER9xtqwdhxkhw/edit?usp=sharing"",""สิงห์บุรี!I185"")"),0)</f>
        <v>0</v>
      </c>
      <c r="J270" s="316">
        <f ca="1">IFERROR(__xludf.DUMMYFUNCTION("IMPORTRANGE(""https://docs.google.com/spreadsheets/d/1SX6NBoVAgQJ6U1MVXOaj8PK2l7WJ3RER9xtqwdhxkhw/edit?usp=sharing"",""สิงห์บุรี!J185"")"),0)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IFERROR(__xludf.DUMMYFUNCTION("IMPORTRANGE(""https://docs.google.com/spreadsheets/d/1Yj_ptqi66GCucihVvJfMjLAmec39IyEx_6qawtMGysU/edit?usp=sharing"",""สบก!CK77"")"),0)</f>
        <v>0</v>
      </c>
      <c r="N275" s="169">
        <f ca="1">IFERROR(__xludf.DUMMYFUNCTION("IMPORTRANGE(""https://docs.google.com/spreadsheets/d/1Yj_ptqi66GCucihVvJfMjLAmec39IyEx_6qawtMGysU/edit?usp=sharing"",""สบก!CL77"")"),0)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IFERROR(__xludf.DUMMYFUNCTION("IMPORTRANGE(""https://docs.google.com/spreadsheets/d/1Yj_ptqi66GCucihVvJfMjLAmec39IyEx_6qawtMGysU/edit?usp=sharing"",""สบก!CG77"")"),0)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IFERROR(__xludf.DUMMYFUNCTION("IMPORTRANGE(""https://docs.google.com/spreadsheets/d/1Yj_ptqi66GCucihVvJfMjLAmec39IyEx_6qawtMGysU/edit?usp=sharing"",""สบก!CH77"")"),0)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IFERROR(__xludf.DUMMYFUNCTION("IMPORTRANGE(""https://docs.google.com/spreadsheets/d/1Yj_ptqi66GCucihVvJfMjLAmec39IyEx_6qawtMGysU/edit?usp=sharing"",""สบก!CI77"")"),0)</f>
        <v>0</v>
      </c>
      <c r="M279" s="49"/>
      <c r="N279" s="49">
        <f ca="1">IFERROR(__xludf.DUMMYFUNCTION("IMPORTRANGE(""https://docs.google.com/spreadsheets/d/1Yj_ptqi66GCucihVvJfMjLAmec39IyEx_6qawtMGysU/edit?usp=sharing"",""สบก!CM77"")"),0)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IFERROR(__xludf.DUMMYFUNCTION("IMPORTRANGE(""https://docs.google.com/spreadsheets/d/1SX6NBoVAgQJ6U1MVXOaj8PK2l7WJ3RER9xtqwdhxkhw/edit?usp=sharing"",""สิงห์บุรี!J191"")"),0)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IFERROR(__xludf.DUMMYFUNCTION("IMPORTRANGE(""https://docs.google.com/spreadsheets/d/1SX6NBoVAgQJ6U1MVXOaj8PK2l7WJ3RER9xtqwdhxkhw/edit?usp=sharing"",""สิงห์บุรี!J192"")"),0)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IFERROR(__xludf.DUMMYFUNCTION("IMPORTRANGE(""https://docs.google.com/spreadsheets/d/1SX6NBoVAgQJ6U1MVXOaj8PK2l7WJ3RER9xtqwdhxkhw/edit?usp=sharing"",""สิงห์บุรี!J193"")"),0)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IFERROR(__xludf.DUMMYFUNCTION("IMPORTRANGE(""https://docs.google.com/spreadsheets/d/1SX6NBoVAgQJ6U1MVXOaj8PK2l7WJ3RER9xtqwdhxkhw/edit?usp=sharing"",""สิงห์บุรี!J194"")"),0)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IFERROR(__xludf.DUMMYFUNCTION("IMPORTRANGE(""https://docs.google.com/spreadsheets/d/1SX6NBoVAgQJ6U1MVXOaj8PK2l7WJ3RER9xtqwdhxkhw/edit?usp=sharing"",""สิงห์บุรี!I195"")"),0)</f>
        <v>0</v>
      </c>
      <c r="J285" s="189">
        <f ca="1">IFERROR(__xludf.DUMMYFUNCTION("IMPORTRANGE(""https://docs.google.com/spreadsheets/d/1SX6NBoVAgQJ6U1MVXOaj8PK2l7WJ3RER9xtqwdhxkhw/edit?usp=sharing"",""สิงห์บุรี!J195"")"),0)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IFERROR(__xludf.DUMMYFUNCTION("IMPORTRANGE(""https://docs.google.com/spreadsheets/d/1SX6NBoVAgQJ6U1MVXOaj8PK2l7WJ3RER9xtqwdhxkhw/edit?usp=sharing"",""สิงห์บุรี!J196"")"),0)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IFERROR(__xludf.DUMMYFUNCTION("IMPORTRANGE(""https://docs.google.com/spreadsheets/d/1SX6NBoVAgQJ6U1MVXOaj8PK2l7WJ3RER9xtqwdhxkhw/edit?usp=sharing"",""สิงห์บุรี!J197"")"),0)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IFERROR(__xludf.DUMMYFUNCTION("IMPORTRANGE(""https://docs.google.com/spreadsheets/d/1SX6NBoVAgQJ6U1MVXOaj8PK2l7WJ3RER9xtqwdhxkhw/edit?usp=sharing"",""สิงห์บุรี!I199"")"),0)</f>
        <v>0</v>
      </c>
      <c r="J289" s="316">
        <f ca="1">IFERROR(__xludf.DUMMYFUNCTION("IMPORTRANGE(""https://docs.google.com/spreadsheets/d/1SX6NBoVAgQJ6U1MVXOaj8PK2l7WJ3RER9xtqwdhxkhw/edit?usp=sharing"",""สิงห์บุรี!J199"")"),0)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IFERROR(__xludf.DUMMYFUNCTION("IMPORTRANGE(""https://docs.google.com/spreadsheets/d/1Yj_ptqi66GCucihVvJfMjLAmec39IyEx_6qawtMGysU/edit?usp=sharing"",""สบก!CT77"")"),0)</f>
        <v>0</v>
      </c>
      <c r="N294" s="169">
        <f ca="1">IFERROR(__xludf.DUMMYFUNCTION("IMPORTRANGE(""https://docs.google.com/spreadsheets/d/1Yj_ptqi66GCucihVvJfMjLAmec39IyEx_6qawtMGysU/edit?usp=sharing"",""สบก!CU77"")"),0)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IFERROR(__xludf.DUMMYFUNCTION("IMPORTRANGE(""https://docs.google.com/spreadsheets/d/1Yj_ptqi66GCucihVvJfMjLAmec39IyEx_6qawtMGysU/edit?usp=sharing"",""สบก!CP77"")"),0)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IFERROR(__xludf.DUMMYFUNCTION("IMPORTRANGE(""https://docs.google.com/spreadsheets/d/1Yj_ptqi66GCucihVvJfMjLAmec39IyEx_6qawtMGysU/edit?usp=sharing"",""สบก!CQ77"")"),0)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IFERROR(__xludf.DUMMYFUNCTION("IMPORTRANGE(""https://docs.google.com/spreadsheets/d/1Yj_ptqi66GCucihVvJfMjLAmec39IyEx_6qawtMGysU/edit?usp=sharing"",""สบก!CR77"")"),0)</f>
        <v>0</v>
      </c>
      <c r="M298" s="49"/>
      <c r="N298" s="49">
        <f ca="1">IFERROR(__xludf.DUMMYFUNCTION("IMPORTRANGE(""https://docs.google.com/spreadsheets/d/1Yj_ptqi66GCucihVvJfMjLAmec39IyEx_6qawtMGysU/edit?usp=sharing"",""สบก!CV77"")"),0)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IFERROR(__xludf.DUMMYFUNCTION("IMPORTRANGE(""https://docs.google.com/spreadsheets/d/1SX6NBoVAgQJ6U1MVXOaj8PK2l7WJ3RER9xtqwdhxkhw/edit?usp=sharing"",""สิงห์บุรี!J205"")"),0)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IFERROR(__xludf.DUMMYFUNCTION("IMPORTRANGE(""https://docs.google.com/spreadsheets/d/1SX6NBoVAgQJ6U1MVXOaj8PK2l7WJ3RER9xtqwdhxkhw/edit?usp=sharing"",""สิงห์บุรี!J206"")"),0)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IFERROR(__xludf.DUMMYFUNCTION("IMPORTRANGE(""https://docs.google.com/spreadsheets/d/1SX6NBoVAgQJ6U1MVXOaj8PK2l7WJ3RER9xtqwdhxkhw/edit?usp=sharing"",""สิงห์บุรี!J207"")"),0)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IFERROR(__xludf.DUMMYFUNCTION("IMPORTRANGE(""https://docs.google.com/spreadsheets/d/1SX6NBoVAgQJ6U1MVXOaj8PK2l7WJ3RER9xtqwdhxkhw/edit?usp=sharing"",""สิงห์บุรี!J208"")"),0)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IFERROR(__xludf.DUMMYFUNCTION("IMPORTRANGE(""https://docs.google.com/spreadsheets/d/1SX6NBoVAgQJ6U1MVXOaj8PK2l7WJ3RER9xtqwdhxkhw/edit?usp=sharing"",""สิงห์บุรี!I209"")"),0)</f>
        <v>0</v>
      </c>
      <c r="J304" s="204">
        <f ca="1">IFERROR(__xludf.DUMMYFUNCTION("IMPORTRANGE(""https://docs.google.com/spreadsheets/d/1SX6NBoVAgQJ6U1MVXOaj8PK2l7WJ3RER9xtqwdhxkhw/edit?usp=sharing"",""สิงห์บุรี!J209"")"),0)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IFERROR(__xludf.DUMMYFUNCTION("IMPORTRANGE(""https://docs.google.com/spreadsheets/d/1SX6NBoVAgQJ6U1MVXOaj8PK2l7WJ3RER9xtqwdhxkhw/edit?usp=sharing"",""สิงห์บุรี!I211"")"),0)</f>
        <v>0</v>
      </c>
      <c r="J306" s="204">
        <f ca="1">IFERROR(__xludf.DUMMYFUNCTION("IMPORTRANGE(""https://docs.google.com/spreadsheets/d/1SX6NBoVAgQJ6U1MVXOaj8PK2l7WJ3RER9xtqwdhxkhw/edit?usp=sharing"",""สิงห์บุรี!J211"")"),0)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IFERROR(__xludf.DUMMYFUNCTION("IMPORTRANGE(""https://docs.google.com/spreadsheets/d/1SX6NBoVAgQJ6U1MVXOaj8PK2l7WJ3RER9xtqwdhxkhw/edit?usp=sharing"",""สิงห์บุรี!J212"")"),0)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IFERROR(__xludf.DUMMYFUNCTION("IMPORTRANGE(""https://docs.google.com/spreadsheets/d/1SX6NBoVAgQJ6U1MVXOaj8PK2l7WJ3RER9xtqwdhxkhw/edit?usp=sharing"",""สิงห์บุรี!J213"")"),0)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IFERROR(__xludf.DUMMYFUNCTION("IMPORTRANGE(""https://docs.google.com/spreadsheets/d/1SX6NBoVAgQJ6U1MVXOaj8PK2l7WJ3RER9xtqwdhxkhw/edit?usp=sharing"",""สิงห์บุรี!I214"")"),0)</f>
        <v>0</v>
      </c>
      <c r="J309" s="333">
        <f ca="1">IFERROR(__xludf.DUMMYFUNCTION("IMPORTRANGE(""https://docs.google.com/spreadsheets/d/1SX6NBoVAgQJ6U1MVXOaj8PK2l7WJ3RER9xtqwdhxkhw/edit?usp=sharing"",""สิงห์บุรี!J214"")"),0)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IFERROR(__xludf.DUMMYFUNCTION("IMPORTRANGE(""https://docs.google.com/spreadsheets/d/1Yj_ptqi66GCucihVvJfMjLAmec39IyEx_6qawtMGysU/edit?usp=sharing"",""สบก!DC77"")"),0)</f>
        <v>0</v>
      </c>
      <c r="N314" s="169">
        <f ca="1">IFERROR(__xludf.DUMMYFUNCTION("IMPORTRANGE(""https://docs.google.com/spreadsheets/d/1Yj_ptqi66GCucihVvJfMjLAmec39IyEx_6qawtMGysU/edit?usp=sharing"",""สบก!DD77"")"),0)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IFERROR(__xludf.DUMMYFUNCTION("IMPORTRANGE(""https://docs.google.com/spreadsheets/d/1Yj_ptqi66GCucihVvJfMjLAmec39IyEx_6qawtMGysU/edit?usp=sharing"",""สบก!CY77"")"),0)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IFERROR(__xludf.DUMMYFUNCTION("IMPORTRANGE(""https://docs.google.com/spreadsheets/d/1Yj_ptqi66GCucihVvJfMjLAmec39IyEx_6qawtMGysU/edit?usp=sharing"",""สบก!CZ77"")"),0)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IFERROR(__xludf.DUMMYFUNCTION("IMPORTRANGE(""https://docs.google.com/spreadsheets/d/1Yj_ptqi66GCucihVvJfMjLAmec39IyEx_6qawtMGysU/edit?usp=sharing"",""สบก!DA77"")"),0)</f>
        <v>0</v>
      </c>
      <c r="M318" s="49"/>
      <c r="N318" s="49">
        <f ca="1">IFERROR(__xludf.DUMMYFUNCTION("IMPORTRANGE(""https://docs.google.com/spreadsheets/d/1Yj_ptqi66GCucihVvJfMjLAmec39IyEx_6qawtMGysU/edit?usp=sharing"",""สบก!DE77"")"),0)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IFERROR(__xludf.DUMMYFUNCTION("IMPORTRANGE(""https://docs.google.com/spreadsheets/d/1SX6NBoVAgQJ6U1MVXOaj8PK2l7WJ3RER9xtqwdhxkhw/edit?usp=sharing"",""สิงห์บุรี!J220"")"),0)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IFERROR(__xludf.DUMMYFUNCTION("IMPORTRANGE(""https://docs.google.com/spreadsheets/d/1SX6NBoVAgQJ6U1MVXOaj8PK2l7WJ3RER9xtqwdhxkhw/edit?usp=sharing"",""สิงห์บุรี!J221"")"),0)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IFERROR(__xludf.DUMMYFUNCTION("IMPORTRANGE(""https://docs.google.com/spreadsheets/d/1SX6NBoVAgQJ6U1MVXOaj8PK2l7WJ3RER9xtqwdhxkhw/edit?usp=sharing"",""สิงห์บุรี!J222"")"),0)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IFERROR(__xludf.DUMMYFUNCTION("IMPORTRANGE(""https://docs.google.com/spreadsheets/d/1SX6NBoVAgQJ6U1MVXOaj8PK2l7WJ3RER9xtqwdhxkhw/edit?usp=sharing"",""สิงห์บุรี!J223"")"),0)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IFERROR(__xludf.DUMMYFUNCTION("IMPORTRANGE(""https://docs.google.com/spreadsheets/d/1SX6NBoVAgQJ6U1MVXOaj8PK2l7WJ3RER9xtqwdhxkhw/edit?usp=sharing"",""สิงห์บุรี!I224"")"),0)</f>
        <v>0</v>
      </c>
      <c r="J324" s="204">
        <f ca="1">IFERROR(__xludf.DUMMYFUNCTION("IMPORTRANGE(""https://docs.google.com/spreadsheets/d/1SX6NBoVAgQJ6U1MVXOaj8PK2l7WJ3RER9xtqwdhxkhw/edit?usp=sharing"",""สิงห์บุรี!J224"")"),0)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IFERROR(__xludf.DUMMYFUNCTION("IMPORTRANGE(""https://docs.google.com/spreadsheets/d/1SX6NBoVAgQJ6U1MVXOaj8PK2l7WJ3RER9xtqwdhxkhw/edit?usp=sharing"",""สิงห์บุรี!J225"")"),0)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IFERROR(__xludf.DUMMYFUNCTION("IMPORTRANGE(""https://docs.google.com/spreadsheets/d/1SX6NBoVAgQJ6U1MVXOaj8PK2l7WJ3RER9xtqwdhxkhw/edit?usp=sharing"",""สิงห์บุรี!J226"")"),0)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IFERROR(__xludf.DUMMYFUNCTION("IMPORTRANGE(""https://docs.google.com/spreadsheets/d/1SX6NBoVAgQJ6U1MVXOaj8PK2l7WJ3RER9xtqwdhxkhw/edit?usp=sharing"",""สิงห์บุรี!I228"")"),0)</f>
        <v>0</v>
      </c>
      <c r="J328" s="339">
        <f ca="1">IFERROR(__xludf.DUMMYFUNCTION("IMPORTRANGE(""https://docs.google.com/spreadsheets/d/1SX6NBoVAgQJ6U1MVXOaj8PK2l7WJ3RER9xtqwdhxkhw/edit?usp=sharing"",""สิงห์บุรี!J228"")"),0)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672770</v>
      </c>
      <c r="M329" s="152">
        <f t="shared" ca="1" si="98"/>
        <v>529290</v>
      </c>
      <c r="N329" s="152">
        <f t="shared" ca="1" si="98"/>
        <v>406315.41</v>
      </c>
      <c r="O329" s="151">
        <f t="shared" ref="O329:O331" ca="1" si="99">IF(L329&gt;0,N329*100/L329,0)</f>
        <v>60.394400761032742</v>
      </c>
      <c r="P329" s="151">
        <f t="shared" ref="P329:P331" ca="1" si="100">IF(M329&gt;0,N329*100/M329,0)</f>
        <v>76.766122541517888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672770</v>
      </c>
      <c r="M331" s="157">
        <f t="shared" ca="1" si="102"/>
        <v>529290</v>
      </c>
      <c r="N331" s="157">
        <f t="shared" ca="1" si="102"/>
        <v>406315.41</v>
      </c>
      <c r="O331" s="156">
        <f t="shared" ca="1" si="99"/>
        <v>60.394400761032742</v>
      </c>
      <c r="P331" s="156">
        <f t="shared" ca="1" si="100"/>
        <v>76.766122541517888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537770</v>
      </c>
      <c r="M333" s="168">
        <f ca="1">IFERROR(__xludf.DUMMYFUNCTION("IMPORTRANGE(""https://docs.google.com/spreadsheets/d/1Yj_ptqi66GCucihVvJfMjLAmec39IyEx_6qawtMGysU/edit?usp=sharing"",""สบก!DL77"")"),394290)</f>
        <v>394290</v>
      </c>
      <c r="N333" s="169">
        <f ca="1">IFERROR(__xludf.DUMMYFUNCTION("IMPORTRANGE(""https://docs.google.com/spreadsheets/d/1Yj_ptqi66GCucihVvJfMjLAmec39IyEx_6qawtMGysU/edit?usp=sharing"",""สบก!DM77"")"),271315.41)</f>
        <v>271315.40999999997</v>
      </c>
      <c r="O333" s="169">
        <f ca="1">IF(L333&gt;0,N333*100/L333,0)</f>
        <v>50.451942280156935</v>
      </c>
      <c r="P333" s="169">
        <f ca="1">IF(M333&gt;0,N333*100/M333,0)</f>
        <v>68.811131400745637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IFERROR(__xludf.DUMMYFUNCTION("IMPORTRANGE(""https://docs.google.com/spreadsheets/d/1Yj_ptqi66GCucihVvJfMjLAmec39IyEx_6qawtMGysU/edit?usp=sharing"",""สบก!DH77"")"),493800)</f>
        <v>493800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IFERROR(__xludf.DUMMYFUNCTION("IMPORTRANGE(""https://docs.google.com/spreadsheets/d/1Yj_ptqi66GCucihVvJfMjLAmec39IyEx_6qawtMGysU/edit?usp=sharing"",""สบก!DI77"")"),43970)</f>
        <v>43970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IFERROR(__xludf.DUMMYFUNCTION("IMPORTRANGE(""https://docs.google.com/spreadsheets/d/1Yj_ptqi66GCucihVvJfMjLAmec39IyEx_6qawtMGysU/edit?usp=sharing"",""สบก!DJ77"")"),135000)</f>
        <v>135000</v>
      </c>
      <c r="M337" s="49">
        <f ca="1">L337</f>
        <v>135000</v>
      </c>
      <c r="N337" s="49">
        <f ca="1">IFERROR(__xludf.DUMMYFUNCTION("IMPORTRANGE(""https://docs.google.com/spreadsheets/d/1Yj_ptqi66GCucihVvJfMjLAmec39IyEx_6qawtMGysU/edit?usp=sharing"",""สบก!DN77"")"),135000)</f>
        <v>135000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IFERROR(__xludf.DUMMYFUNCTION("IMPORTRANGE(""https://docs.google.com/spreadsheets/d/1SX6NBoVAgQJ6U1MVXOaj8PK2l7WJ3RER9xtqwdhxkhw/edit?usp=sharing"",""สิงห์บุรี!I234"")"),0)</f>
        <v>0</v>
      </c>
      <c r="J339" s="188">
        <f ca="1">IFERROR(__xludf.DUMMYFUNCTION("IMPORTRANGE(""https://docs.google.com/spreadsheets/d/1SX6NBoVAgQJ6U1MVXOaj8PK2l7WJ3RER9xtqwdhxkhw/edit?usp=sharing"",""สิงห์บุรี!J234"")"),0)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IFERROR(__xludf.DUMMYFUNCTION("IMPORTRANGE(""https://docs.google.com/spreadsheets/d/1SX6NBoVAgQJ6U1MVXOaj8PK2l7WJ3RER9xtqwdhxkhw/edit?usp=sharing"",""สิงห์บุรี!I235"")"),0)</f>
        <v>0</v>
      </c>
      <c r="J340" s="188">
        <f ca="1">IFERROR(__xludf.DUMMYFUNCTION("IMPORTRANGE(""https://docs.google.com/spreadsheets/d/1SX6NBoVAgQJ6U1MVXOaj8PK2l7WJ3RER9xtqwdhxkhw/edit?usp=sharing"",""สิงห์บุรี!J235"")"),0)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IFERROR(__xludf.DUMMYFUNCTION("IMPORTRANGE(""https://docs.google.com/spreadsheets/d/1SX6NBoVAgQJ6U1MVXOaj8PK2l7WJ3RER9xtqwdhxkhw/edit?usp=sharing"",""สิงห์บุรี!I236"")"),0)</f>
        <v>0</v>
      </c>
      <c r="J341" s="188">
        <f ca="1">IFERROR(__xludf.DUMMYFUNCTION("IMPORTRANGE(""https://docs.google.com/spreadsheets/d/1SX6NBoVAgQJ6U1MVXOaj8PK2l7WJ3RER9xtqwdhxkhw/edit?usp=sharing"",""สิงห์บุรี!J236"")"),0)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IFERROR(__xludf.DUMMYFUNCTION("IMPORTRANGE(""https://docs.google.com/spreadsheets/d/1SX6NBoVAgQJ6U1MVXOaj8PK2l7WJ3RER9xtqwdhxkhw/edit?usp=sharing"",""สิงห์บุรี!I237"")"),0)</f>
        <v>0</v>
      </c>
      <c r="J342" s="188">
        <f ca="1">IFERROR(__xludf.DUMMYFUNCTION("IMPORTRANGE(""https://docs.google.com/spreadsheets/d/1SX6NBoVAgQJ6U1MVXOaj8PK2l7WJ3RER9xtqwdhxkhw/edit?usp=sharing"",""สิงห์บุรี!J237"")"),0)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IFERROR(__xludf.DUMMYFUNCTION("IMPORTRANGE(""https://docs.google.com/spreadsheets/d/1SX6NBoVAgQJ6U1MVXOaj8PK2l7WJ3RER9xtqwdhxkhw/edit?usp=sharing"",""สิงห์บุรี!I238"")"),0)</f>
        <v>0</v>
      </c>
      <c r="J343" s="188">
        <f ca="1">IFERROR(__xludf.DUMMYFUNCTION("IMPORTRANGE(""https://docs.google.com/spreadsheets/d/1SX6NBoVAgQJ6U1MVXOaj8PK2l7WJ3RER9xtqwdhxkhw/edit?usp=sharing"",""สิงห์บุรี!J238"")"),0)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IFERROR(__xludf.DUMMYFUNCTION("IMPORTRANGE(""https://docs.google.com/spreadsheets/d/1SX6NBoVAgQJ6U1MVXOaj8PK2l7WJ3RER9xtqwdhxkhw/edit?usp=sharing"",""สิงห์บุรี!I239"")"),0)</f>
        <v>0</v>
      </c>
      <c r="J344" s="188">
        <f ca="1">IFERROR(__xludf.DUMMYFUNCTION("IMPORTRANGE(""https://docs.google.com/spreadsheets/d/1SX6NBoVAgQJ6U1MVXOaj8PK2l7WJ3RER9xtqwdhxkhw/edit?usp=sharing"",""สิงห์บุรี!J239"")"),0)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IFERROR(__xludf.DUMMYFUNCTION("IMPORTRANGE(""https://docs.google.com/spreadsheets/d/1SX6NBoVAgQJ6U1MVXOaj8PK2l7WJ3RER9xtqwdhxkhw/edit?usp=sharing"",""สิงห์บุรี!I240"")"),0)</f>
        <v>0</v>
      </c>
      <c r="J345" s="188">
        <f ca="1">IFERROR(__xludf.DUMMYFUNCTION("IMPORTRANGE(""https://docs.google.com/spreadsheets/d/1SX6NBoVAgQJ6U1MVXOaj8PK2l7WJ3RER9xtqwdhxkhw/edit?usp=sharing"",""สิงห์บุรี!J240"")"),0)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IFERROR(__xludf.DUMMYFUNCTION("IMPORTRANGE(""https://docs.google.com/spreadsheets/d/1SX6NBoVAgQJ6U1MVXOaj8PK2l7WJ3RER9xtqwdhxkhw/edit?usp=sharing"",""สิงห์บุรี!I241"")"),0)</f>
        <v>0</v>
      </c>
      <c r="J346" s="188">
        <f ca="1">IFERROR(__xludf.DUMMYFUNCTION("IMPORTRANGE(""https://docs.google.com/spreadsheets/d/1SX6NBoVAgQJ6U1MVXOaj8PK2l7WJ3RER9xtqwdhxkhw/edit?usp=sharing"",""สิงห์บุรี!J241"")"),0)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IFERROR(__xludf.DUMMYFUNCTION("IMPORTRANGE(""https://docs.google.com/spreadsheets/d/1SX6NBoVAgQJ6U1MVXOaj8PK2l7WJ3RER9xtqwdhxkhw/edit?usp=sharing"",""สิงห์บุรี!L242"")"),324230)</f>
        <v>324230</v>
      </c>
      <c r="M347" s="358"/>
      <c r="N347" s="358">
        <f ca="1">IFERROR(__xludf.DUMMYFUNCTION("IMPORTRANGE(""https://docs.google.com/spreadsheets/d/1SX6NBoVAgQJ6U1MVXOaj8PK2l7WJ3RER9xtqwdhxkhw/edit?usp=sharing"",""สิงห์บุรี!M242"")"),174569.66)</f>
        <v>174569.66</v>
      </c>
      <c r="O347" s="358">
        <f ca="1">+IF(L347&gt;0,N347*100/L347,0)</f>
        <v>53.841304012583663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IFERROR(__xludf.DUMMYFUNCTION("IMPORTRANGE(""https://docs.google.com/spreadsheets/d/1SX6NBoVAgQJ6U1MVXOaj8PK2l7WJ3RER9xtqwdhxkhw/edit?usp=sharing"",""สิงห์บุรี!I244"")"),0)</f>
        <v>0</v>
      </c>
      <c r="J349" s="371">
        <f ca="1">IFERROR(__xludf.DUMMYFUNCTION("IMPORTRANGE(""https://docs.google.com/spreadsheets/d/1SX6NBoVAgQJ6U1MVXOaj8PK2l7WJ3RER9xtqwdhxkhw/edit?usp=sharing"",""สิงห์บุรี!J244"")"),0)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IFERROR(__xludf.DUMMYFUNCTION("IMPORTRANGE(""https://docs.google.com/spreadsheets/d/1SX6NBoVAgQJ6U1MVXOaj8PK2l7WJ3RER9xtqwdhxkhw/edit?usp=sharing"",""สิงห์บุรี!L244"")"),0)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IFERROR(__xludf.DUMMYFUNCTION("IMPORTRANGE(""https://docs.google.com/spreadsheets/d/1SX6NBoVAgQJ6U1MVXOaj8PK2l7WJ3RER9xtqwdhxkhw/edit?usp=sharing"",""สิงห์บุรี!M244"")"),0)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IFERROR(__xludf.DUMMYFUNCTION("IMPORTRANGE(""https://docs.google.com/spreadsheets/d/1SX6NBoVAgQJ6U1MVXOaj8PK2l7WJ3RER9xtqwdhxkhw/edit?usp=sharing"",""สิงห์บุรี!I245"")"),0)</f>
        <v>0</v>
      </c>
      <c r="J350" s="371">
        <f ca="1">IFERROR(__xludf.DUMMYFUNCTION("IMPORTRANGE(""https://docs.google.com/spreadsheets/d/1SX6NBoVAgQJ6U1MVXOaj8PK2l7WJ3RER9xtqwdhxkhw/edit?usp=sharing"",""สิงห์บุรี!J245"")"),0)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IFERROR(__xludf.DUMMYFUNCTION("IMPORTRANGE(""https://docs.google.com/spreadsheets/d/1SX6NBoVAgQJ6U1MVXOaj8PK2l7WJ3RER9xtqwdhxkhw/edit?usp=sharing"",""สิงห์บุรี!L246"")"),0)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IFERROR(__xludf.DUMMYFUNCTION("IMPORTRANGE(""https://docs.google.com/spreadsheets/d/1SX6NBoVAgQJ6U1MVXOaj8PK2l7WJ3RER9xtqwdhxkhw/edit?usp=sharing"",""สิงห์บุรี!M246"")"),0)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IFERROR(__xludf.DUMMYFUNCTION("IMPORTRANGE(""https://docs.google.com/spreadsheets/d/1SX6NBoVAgQJ6U1MVXOaj8PK2l7WJ3RER9xtqwdhxkhw/edit?usp=sharing"",""สิงห์บุรี!L247"")"),0)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IFERROR(__xludf.DUMMYFUNCTION("IMPORTRANGE(""https://docs.google.com/spreadsheets/d/1SX6NBoVAgQJ6U1MVXOaj8PK2l7WJ3RER9xtqwdhxkhw/edit?usp=sharing"",""สิงห์บุรี!M247"")"),0)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IFERROR(__xludf.DUMMYFUNCTION("IMPORTRANGE(""https://docs.google.com/spreadsheets/d/1SX6NBoVAgQJ6U1MVXOaj8PK2l7WJ3RER9xtqwdhxkhw/edit?usp=sharing"",""สิงห์บุรี!L248"")"),0)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IFERROR(__xludf.DUMMYFUNCTION("IMPORTRANGE(""https://docs.google.com/spreadsheets/d/1SX6NBoVAgQJ6U1MVXOaj8PK2l7WJ3RER9xtqwdhxkhw/edit?usp=sharing"",""สิงห์บุรี!M248"")"),0)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IFERROR(__xludf.DUMMYFUNCTION("IMPORTRANGE(""https://docs.google.com/spreadsheets/d/1SX6NBoVAgQJ6U1MVXOaj8PK2l7WJ3RER9xtqwdhxkhw/edit?usp=sharing"",""สิงห์บุรี!L249"")"),0)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IFERROR(__xludf.DUMMYFUNCTION("IMPORTRANGE(""https://docs.google.com/spreadsheets/d/1SX6NBoVAgQJ6U1MVXOaj8PK2l7WJ3RER9xtqwdhxkhw/edit?usp=sharing"",""สิงห์บุรี!M249"")"),0)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IFERROR(__xludf.DUMMYFUNCTION("IMPORTRANGE(""https://docs.google.com/spreadsheets/d/1SX6NBoVAgQJ6U1MVXOaj8PK2l7WJ3RER9xtqwdhxkhw/edit?usp=sharing"",""สิงห์บุรี!M250"")"),0)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IFERROR(__xludf.DUMMYFUNCTION("IMPORTRANGE(""https://docs.google.com/spreadsheets/d/1SX6NBoVAgQJ6U1MVXOaj8PK2l7WJ3RER9xtqwdhxkhw/edit?usp=sharing"",""สิงห์บุรี!M251"")"),0)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IFERROR(__xludf.DUMMYFUNCTION("IMPORTRANGE(""https://docs.google.com/spreadsheets/d/1SX6NBoVAgQJ6U1MVXOaj8PK2l7WJ3RER9xtqwdhxkhw/edit?usp=sharing"",""สิงห์บุรี!M252"")"),0)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IFERROR(__xludf.DUMMYFUNCTION("IMPORTRANGE(""https://docs.google.com/spreadsheets/d/1SX6NBoVAgQJ6U1MVXOaj8PK2l7WJ3RER9xtqwdhxkhw/edit?usp=sharing"",""สิงห์บุรี!M253"")"),0)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IFERROR(__xludf.DUMMYFUNCTION("IMPORTRANGE(""https://docs.google.com/spreadsheets/d/1SX6NBoVAgQJ6U1MVXOaj8PK2l7WJ3RER9xtqwdhxkhw/edit?usp=sharing"",""สิงห์บุรี!J255"")"),0)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IFERROR(__xludf.DUMMYFUNCTION("IMPORTRANGE(""https://docs.google.com/spreadsheets/d/1SX6NBoVAgQJ6U1MVXOaj8PK2l7WJ3RER9xtqwdhxkhw/edit?usp=sharing"",""สิงห์บุรี!J256"")"),0)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IFERROR(__xludf.DUMMYFUNCTION("IMPORTRANGE(""https://docs.google.com/spreadsheets/d/1SX6NBoVAgQJ6U1MVXOaj8PK2l7WJ3RER9xtqwdhxkhw/edit?usp=sharing"",""สิงห์บุรี!J257"")"),0)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IFERROR(__xludf.DUMMYFUNCTION("IMPORTRANGE(""https://docs.google.com/spreadsheets/d/1SX6NBoVAgQJ6U1MVXOaj8PK2l7WJ3RER9xtqwdhxkhw/edit?usp=sharing"",""สิงห์บุรี!J258"")"),0)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IFERROR(__xludf.DUMMYFUNCTION("IMPORTRANGE(""https://docs.google.com/spreadsheets/d/1SX6NBoVAgQJ6U1MVXOaj8PK2l7WJ3RER9xtqwdhxkhw/edit?usp=sharing"",""สิงห์บุรี!J166"")"),0)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IFERROR(__xludf.DUMMYFUNCTION("IMPORTRANGE(""https://docs.google.com/spreadsheets/d/1SX6NBoVAgQJ6U1MVXOaj8PK2l7WJ3RER9xtqwdhxkhw/edit?usp=sharing"",""สิงห์บุรี!J166"")"),0)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IFERROR(__xludf.DUMMYFUNCTION("IMPORTRANGE(""https://docs.google.com/spreadsheets/d/1SX6NBoVAgQJ6U1MVXOaj8PK2l7WJ3RER9xtqwdhxkhw/edit?usp=sharing"",""สิงห์บุรี!J166"")"),0)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IFERROR(__xludf.DUMMYFUNCTION("IMPORTRANGE(""https://docs.google.com/spreadsheets/d/1SX6NBoVAgQJ6U1MVXOaj8PK2l7WJ3RER9xtqwdhxkhw/edit?usp=sharing"",""สิงห์บุรี!J166"")"),0)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IFERROR(__xludf.DUMMYFUNCTION("IMPORTRANGE(""https://docs.google.com/spreadsheets/d/1SX6NBoVAgQJ6U1MVXOaj8PK2l7WJ3RER9xtqwdhxkhw/edit?usp=sharing"",""สิงห์บุรี!I263"")"),0)</f>
        <v>0</v>
      </c>
      <c r="J368" s="188">
        <f ca="1">IFERROR(__xludf.DUMMYFUNCTION("IMPORTRANGE(""https://docs.google.com/spreadsheets/d/1SX6NBoVAgQJ6U1MVXOaj8PK2l7WJ3RER9xtqwdhxkhw/edit?usp=sharing"",""สิงห์บุรี!J263"")"),0)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IFERROR(__xludf.DUMMYFUNCTION("IMPORTRANGE(""https://docs.google.com/spreadsheets/d/1SX6NBoVAgQJ6U1MVXOaj8PK2l7WJ3RER9xtqwdhxkhw/edit?usp=sharing"",""สิงห์บุรี!I164"")"),0)</f>
        <v>0</v>
      </c>
      <c r="J369" s="204">
        <f ca="1">IFERROR(__xludf.DUMMYFUNCTION("IMPORTRANGE(""https://docs.google.com/spreadsheets/d/1SX6NBoVAgQJ6U1MVXOaj8PK2l7WJ3RER9xtqwdhxkhw/edit?usp=sharing"",""สิงห์บุรี!J164"")"),0)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IFERROR(__xludf.DUMMYFUNCTION("IMPORTRANGE(""https://docs.google.com/spreadsheets/d/1SX6NBoVAgQJ6U1MVXOaj8PK2l7WJ3RER9xtqwdhxkhw/edit?usp=sharing"",""สิงห์บุรี!I265"")"),0)</f>
        <v>0</v>
      </c>
      <c r="J370" s="204">
        <f ca="1">IFERROR(__xludf.DUMMYFUNCTION("IMPORTRANGE(""https://docs.google.com/spreadsheets/d/1SX6NBoVAgQJ6U1MVXOaj8PK2l7WJ3RER9xtqwdhxkhw/edit?usp=sharing"",""สิงห์บุรี!J265"")"),0)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IFERROR(__xludf.DUMMYFUNCTION("IMPORTRANGE(""https://docs.google.com/spreadsheets/d/1SX6NBoVAgQJ6U1MVXOaj8PK2l7WJ3RER9xtqwdhxkhw/edit?usp=sharing"",""สิงห์บุรี!I164"")"),0)</f>
        <v>0</v>
      </c>
      <c r="J371" s="189">
        <f ca="1">IFERROR(__xludf.DUMMYFUNCTION("IMPORTRANGE(""https://docs.google.com/spreadsheets/d/1SX6NBoVAgQJ6U1MVXOaj8PK2l7WJ3RER9xtqwdhxkhw/edit?usp=sharing"",""สิงห์บุรี!J164"")"),0)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IFERROR(__xludf.DUMMYFUNCTION("IMPORTRANGE(""https://docs.google.com/spreadsheets/d/1SX6NBoVAgQJ6U1MVXOaj8PK2l7WJ3RER9xtqwdhxkhw/edit?usp=sharing"",""สิงห์บุรี!I267"")"),0)</f>
        <v>0</v>
      </c>
      <c r="J372" s="189">
        <f ca="1">IFERROR(__xludf.DUMMYFUNCTION("IMPORTRANGE(""https://docs.google.com/spreadsheets/d/1SX6NBoVAgQJ6U1MVXOaj8PK2l7WJ3RER9xtqwdhxkhw/edit?usp=sharing"",""สิงห์บุรี!J267"")"),0)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IFERROR(__xludf.DUMMYFUNCTION("IMPORTRANGE(""https://docs.google.com/spreadsheets/d/1SX6NBoVAgQJ6U1MVXOaj8PK2l7WJ3RER9xtqwdhxkhw/edit?usp=sharing"",""สิงห์บุรี!I164"")"),0)</f>
        <v>0</v>
      </c>
      <c r="J373" s="204">
        <f ca="1">IFERROR(__xludf.DUMMYFUNCTION("IMPORTRANGE(""https://docs.google.com/spreadsheets/d/1SX6NBoVAgQJ6U1MVXOaj8PK2l7WJ3RER9xtqwdhxkhw/edit?usp=sharing"",""สิงห์บุรี!J164"")"),0)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IFERROR(__xludf.DUMMYFUNCTION("IMPORTRANGE(""https://docs.google.com/spreadsheets/d/1SX6NBoVAgQJ6U1MVXOaj8PK2l7WJ3RER9xtqwdhxkhw/edit?usp=sharing"",""สิงห์บุรี!I164"")"),0)</f>
        <v>0</v>
      </c>
      <c r="J374" s="188">
        <f ca="1">IFERROR(__xludf.DUMMYFUNCTION("IMPORTRANGE(""https://docs.google.com/spreadsheets/d/1SX6NBoVAgQJ6U1MVXOaj8PK2l7WJ3RER9xtqwdhxkhw/edit?usp=sharing"",""สิงห์บุรี!J164"")"),0)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IFERROR(__xludf.DUMMYFUNCTION("IMPORTRANGE(""https://docs.google.com/spreadsheets/d/1SX6NBoVAgQJ6U1MVXOaj8PK2l7WJ3RER9xtqwdhxkhw/edit?usp=sharing"",""สิงห์บุรี!I270"")"),0)</f>
        <v>0</v>
      </c>
      <c r="J375" s="188">
        <f ca="1">IFERROR(__xludf.DUMMYFUNCTION("IMPORTRANGE(""https://docs.google.com/spreadsheets/d/1SX6NBoVAgQJ6U1MVXOaj8PK2l7WJ3RER9xtqwdhxkhw/edit?usp=sharing"",""สิงห์บุรี!J270"")"),0)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IFERROR(__xludf.DUMMYFUNCTION("IMPORTRANGE(""https://docs.google.com/spreadsheets/d/1SX6NBoVAgQJ6U1MVXOaj8PK2l7WJ3RER9xtqwdhxkhw/edit?usp=sharing"",""สิงห์บุรี!I271"")"),0)</f>
        <v>0</v>
      </c>
      <c r="J376" s="189">
        <f ca="1">IFERROR(__xludf.DUMMYFUNCTION("IMPORTRANGE(""https://docs.google.com/spreadsheets/d/1SX6NBoVAgQJ6U1MVXOaj8PK2l7WJ3RER9xtqwdhxkhw/edit?usp=sharing"",""สิงห์บุรี!J271"")"),0)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IFERROR(__xludf.DUMMYFUNCTION("IMPORTRANGE(""https://docs.google.com/spreadsheets/d/1SX6NBoVAgQJ6U1MVXOaj8PK2l7WJ3RER9xtqwdhxkhw/edit?usp=sharing"",""สิงห์บุรี!I272"")"),0)</f>
        <v>0</v>
      </c>
      <c r="J377" s="204">
        <f ca="1">IFERROR(__xludf.DUMMYFUNCTION("IMPORTRANGE(""https://docs.google.com/spreadsheets/d/1SX6NBoVAgQJ6U1MVXOaj8PK2l7WJ3RER9xtqwdhxkhw/edit?usp=sharing"",""สิงห์บุรี!J272"")"),0)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IFERROR(__xludf.DUMMYFUNCTION("IMPORTRANGE(""https://docs.google.com/spreadsheets/d/1SX6NBoVAgQJ6U1MVXOaj8PK2l7WJ3RER9xtqwdhxkhw/edit?usp=sharing"",""สิงห์บุรี!J273"")"),0)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IFERROR(__xludf.DUMMYFUNCTION("IMPORTRANGE(""https://docs.google.com/spreadsheets/d/1SX6NBoVAgQJ6U1MVXOaj8PK2l7WJ3RER9xtqwdhxkhw/edit?usp=sharing"",""สิงห์บุรี!J274"")"),0)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IFERROR(__xludf.DUMMYFUNCTION("IMPORTRANGE(""https://docs.google.com/spreadsheets/d/1SX6NBoVAgQJ6U1MVXOaj8PK2l7WJ3RER9xtqwdhxkhw/edit?usp=sharing"",""สิงห์บุรี!I275"")"),0)</f>
        <v>0</v>
      </c>
      <c r="J380" s="371">
        <f ca="1">IFERROR(__xludf.DUMMYFUNCTION("IMPORTRANGE(""https://docs.google.com/spreadsheets/d/1SX6NBoVAgQJ6U1MVXOaj8PK2l7WJ3RER9xtqwdhxkhw/edit?usp=sharing"",""สิงห์บุรี!J275"")"),0)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IFERROR(__xludf.DUMMYFUNCTION("IMPORTRANGE(""https://docs.google.com/spreadsheets/d/1SX6NBoVAgQJ6U1MVXOaj8PK2l7WJ3RER9xtqwdhxkhw/edit?usp=sharing"",""สิงห์บุรี!L275"")"),0)</f>
        <v>0</v>
      </c>
      <c r="M380" s="373"/>
      <c r="N380" s="373">
        <f ca="1">IFERROR(__xludf.DUMMYFUNCTION("IMPORTRANGE(""https://docs.google.com/spreadsheets/d/1SX6NBoVAgQJ6U1MVXOaj8PK2l7WJ3RER9xtqwdhxkhw/edit?usp=sharing"",""สิงห์บุรี!M275"")"),0)</f>
        <v>0</v>
      </c>
      <c r="O380" s="373">
        <f ca="1">+IF(L380&gt;0,N380*100/L380,0)</f>
        <v>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IFERROR(__xludf.DUMMYFUNCTION("IMPORTRANGE(""https://docs.google.com/spreadsheets/d/1SX6NBoVAgQJ6U1MVXOaj8PK2l7WJ3RER9xtqwdhxkhw/edit?usp=sharing"",""สิงห์บุรี!I276"")"),0)</f>
        <v>0</v>
      </c>
      <c r="J381" s="371">
        <f ca="1">IFERROR(__xludf.DUMMYFUNCTION("IMPORTRANGE(""https://docs.google.com/spreadsheets/d/1SX6NBoVAgQJ6U1MVXOaj8PK2l7WJ3RER9xtqwdhxkhw/edit?usp=sharing"",""สิงห์บุรี!J276"")"),0)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IFERROR(__xludf.DUMMYFUNCTION("IMPORTRANGE(""https://docs.google.com/spreadsheets/d/1SX6NBoVAgQJ6U1MVXOaj8PK2l7WJ3RER9xtqwdhxkhw/edit?usp=sharing"",""สิงห์บุรี!L277"")"),0)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IFERROR(__xludf.DUMMYFUNCTION("IMPORTRANGE(""https://docs.google.com/spreadsheets/d/1SX6NBoVAgQJ6U1MVXOaj8PK2l7WJ3RER9xtqwdhxkhw/edit?usp=sharing"",""สิงห์บุรี!M277"")"),0)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IFERROR(__xludf.DUMMYFUNCTION("IMPORTRANGE(""https://docs.google.com/spreadsheets/d/1SX6NBoVAgQJ6U1MVXOaj8PK2l7WJ3RER9xtqwdhxkhw/edit?usp=sharing"",""สิงห์บุรี!L278"")"),0)</f>
        <v>0</v>
      </c>
      <c r="M383" s="165"/>
      <c r="N383" s="165">
        <f ca="1">IFERROR(__xludf.DUMMYFUNCTION("IMPORTRANGE(""https://docs.google.com/spreadsheets/d/1SX6NBoVAgQJ6U1MVXOaj8PK2l7WJ3RER9xtqwdhxkhw/edit?usp=sharing"",""สิงห์บุรี!M278"")"),0)</f>
        <v>0</v>
      </c>
      <c r="O383" s="165">
        <f t="shared" ca="1" si="109"/>
        <v>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IFERROR(__xludf.DUMMYFUNCTION("IMPORTRANGE(""https://docs.google.com/spreadsheets/d/1SX6NBoVAgQJ6U1MVXOaj8PK2l7WJ3RER9xtqwdhxkhw/edit?usp=sharing"",""สิงห์บุรี!L279"")"),0)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IFERROR(__xludf.DUMMYFUNCTION("IMPORTRANGE(""https://docs.google.com/spreadsheets/d/1SX6NBoVAgQJ6U1MVXOaj8PK2l7WJ3RER9xtqwdhxkhw/edit?usp=sharing"",""สิงห์บุรี!M279"")"),0)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IFERROR(__xludf.DUMMYFUNCTION("IMPORTRANGE(""https://docs.google.com/spreadsheets/d/1SX6NBoVAgQJ6U1MVXOaj8PK2l7WJ3RER9xtqwdhxkhw/edit?usp=sharing"",""สิงห์บุรี!L280"")"),0)</f>
        <v>0</v>
      </c>
      <c r="M385" s="169"/>
      <c r="N385" s="168">
        <f ca="1">IFERROR(__xludf.DUMMYFUNCTION("IMPORTRANGE(""https://docs.google.com/spreadsheets/d/1SX6NBoVAgQJ6U1MVXOaj8PK2l7WJ3RER9xtqwdhxkhw/edit?usp=sharing"",""สิงห์บุรี!M280"")"),0)</f>
        <v>0</v>
      </c>
      <c r="O385" s="169">
        <f t="shared" ca="1" si="109"/>
        <v>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IFERROR(__xludf.DUMMYFUNCTION("IMPORTRANGE(""https://docs.google.com/spreadsheets/d/1SX6NBoVAgQJ6U1MVXOaj8PK2l7WJ3RER9xtqwdhxkhw/edit?usp=sharing"",""สิงห์บุรี!M281"")"),0)</f>
        <v>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IFERROR(__xludf.DUMMYFUNCTION("IMPORTRANGE(""https://docs.google.com/spreadsheets/d/1SX6NBoVAgQJ6U1MVXOaj8PK2l7WJ3RER9xtqwdhxkhw/edit?usp=sharing"",""สิงห์บุรี!M282"")"),0)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IFERROR(__xludf.DUMMYFUNCTION("IMPORTRANGE(""https://docs.google.com/spreadsheets/d/1SX6NBoVAgQJ6U1MVXOaj8PK2l7WJ3RER9xtqwdhxkhw/edit?usp=sharing"",""สิงห์บุรี!M283"")"),0)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IFERROR(__xludf.DUMMYFUNCTION("IMPORTRANGE(""https://docs.google.com/spreadsheets/d/1SX6NBoVAgQJ6U1MVXOaj8PK2l7WJ3RER9xtqwdhxkhw/edit?usp=sharing"",""สิงห์บุรี!M284"")"),0)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IFERROR(__xludf.DUMMYFUNCTION("IMPORTRANGE(""https://docs.google.com/spreadsheets/d/1SX6NBoVAgQJ6U1MVXOaj8PK2l7WJ3RER9xtqwdhxkhw/edit?usp=sharing"",""สิงห์บุรี!J286"")"),0)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IFERROR(__xludf.DUMMYFUNCTION("IMPORTRANGE(""https://docs.google.com/spreadsheets/d/1SX6NBoVAgQJ6U1MVXOaj8PK2l7WJ3RER9xtqwdhxkhw/edit?usp=sharing"",""สิงห์บุรี!J287"")"),0)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IFERROR(__xludf.DUMMYFUNCTION("IMPORTRANGE(""https://docs.google.com/spreadsheets/d/1SX6NBoVAgQJ6U1MVXOaj8PK2l7WJ3RER9xtqwdhxkhw/edit?usp=sharing"",""สิงห์บุรี!J288"")"),0)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IFERROR(__xludf.DUMMYFUNCTION("IMPORTRANGE(""https://docs.google.com/spreadsheets/d/1SX6NBoVAgQJ6U1MVXOaj8PK2l7WJ3RER9xtqwdhxkhw/edit?usp=sharing"",""สิงห์บุรี!J289"")"),0)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IFERROR(__xludf.DUMMYFUNCTION("IMPORTRANGE(""https://docs.google.com/spreadsheets/d/1SX6NBoVAgQJ6U1MVXOaj8PK2l7WJ3RER9xtqwdhxkhw/edit?usp=sharing"",""สิงห์บุรี!I291"")"),0)</f>
        <v>0</v>
      </c>
      <c r="J396" s="198">
        <f ca="1">IFERROR(__xludf.DUMMYFUNCTION("IMPORTRANGE(""https://docs.google.com/spreadsheets/d/1SX6NBoVAgQJ6U1MVXOaj8PK2l7WJ3RER9xtqwdhxkhw/edit?usp=sharing"",""สิงห์บุรี!J291"")"),0)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IFERROR(__xludf.DUMMYFUNCTION("IMPORTRANGE(""https://docs.google.com/spreadsheets/d/1SX6NBoVAgQJ6U1MVXOaj8PK2l7WJ3RER9xtqwdhxkhw/edit?usp=sharing"",""สิงห์บุรี!I292"")"),0)</f>
        <v>0</v>
      </c>
      <c r="J397" s="198">
        <f ca="1">IFERROR(__xludf.DUMMYFUNCTION("IMPORTRANGE(""https://docs.google.com/spreadsheets/d/1SX6NBoVAgQJ6U1MVXOaj8PK2l7WJ3RER9xtqwdhxkhw/edit?usp=sharing"",""สิงห์บุรี!J292"")"),0)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IFERROR(__xludf.DUMMYFUNCTION("IMPORTRANGE(""https://docs.google.com/spreadsheets/d/1SX6NBoVAgQJ6U1MVXOaj8PK2l7WJ3RER9xtqwdhxkhw/edit?usp=sharing"",""สิงห์บุรี!I293"")"),0)</f>
        <v>0</v>
      </c>
      <c r="J398" s="198">
        <f ca="1">IFERROR(__xludf.DUMMYFUNCTION("IMPORTRANGE(""https://docs.google.com/spreadsheets/d/1SX6NBoVAgQJ6U1MVXOaj8PK2l7WJ3RER9xtqwdhxkhw/edit?usp=sharing"",""สิงห์บุรี!J293"")"),0)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IFERROR(__xludf.DUMMYFUNCTION("IMPORTRANGE(""https://docs.google.com/spreadsheets/d/1SX6NBoVAgQJ6U1MVXOaj8PK2l7WJ3RER9xtqwdhxkhw/edit?usp=sharing"",""สิงห์บุรี!J294"")"),0)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IFERROR(__xludf.DUMMYFUNCTION("IMPORTRANGE(""https://docs.google.com/spreadsheets/d/1SX6NBoVAgQJ6U1MVXOaj8PK2l7WJ3RER9xtqwdhxkhw/edit?usp=sharing"",""สิงห์บุรี!J295"")"),0)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IFERROR(__xludf.DUMMYFUNCTION("IMPORTRANGE(""https://docs.google.com/spreadsheets/d/1SX6NBoVAgQJ6U1MVXOaj8PK2l7WJ3RER9xtqwdhxkhw/edit?usp=sharing"",""สิงห์บุรี!I296"")"),87)</f>
        <v>87</v>
      </c>
      <c r="J401" s="371">
        <f ca="1">IFERROR(__xludf.DUMMYFUNCTION("IMPORTRANGE(""https://docs.google.com/spreadsheets/d/1SX6NBoVAgQJ6U1MVXOaj8PK2l7WJ3RER9xtqwdhxkhw/edit?usp=sharing"",""สิงห์บุรี!J296"")"),87)</f>
        <v>87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IFERROR(__xludf.DUMMYFUNCTION("IMPORTRANGE(""https://docs.google.com/spreadsheets/d/1SX6NBoVAgQJ6U1MVXOaj8PK2l7WJ3RER9xtqwdhxkhw/edit?usp=sharing"",""สิงห์บุรี!L296"")"),98950)</f>
        <v>98950</v>
      </c>
      <c r="M401" s="373"/>
      <c r="N401" s="373">
        <f ca="1">IFERROR(__xludf.DUMMYFUNCTION("IMPORTRANGE(""https://docs.google.com/spreadsheets/d/1SX6NBoVAgQJ6U1MVXOaj8PK2l7WJ3RER9xtqwdhxkhw/edit?usp=sharing"",""สิงห์บุรี!M296"")"),79819)</f>
        <v>79819</v>
      </c>
      <c r="O401" s="373">
        <f ca="1">+IF(L401&gt;0,N401*100/L401,0)</f>
        <v>80.665992925720062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IFERROR(__xludf.DUMMYFUNCTION("IMPORTRANGE(""https://docs.google.com/spreadsheets/d/1SX6NBoVAgQJ6U1MVXOaj8PK2l7WJ3RER9xtqwdhxkhw/edit?usp=sharing"",""สิงห์บุรี!I297"")"),29)</f>
        <v>29</v>
      </c>
      <c r="J402" s="371">
        <f ca="1">IFERROR(__xludf.DUMMYFUNCTION("IMPORTRANGE(""https://docs.google.com/spreadsheets/d/1SX6NBoVAgQJ6U1MVXOaj8PK2l7WJ3RER9xtqwdhxkhw/edit?usp=sharing"",""สิงห์บุรี!J297"")"),29)</f>
        <v>29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IFERROR(__xludf.DUMMYFUNCTION("IMPORTRANGE(""https://docs.google.com/spreadsheets/d/1SX6NBoVAgQJ6U1MVXOaj8PK2l7WJ3RER9xtqwdhxkhw/edit?usp=sharing"",""สิงห์บุรี!L298"")"),0)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IFERROR(__xludf.DUMMYFUNCTION("IMPORTRANGE(""https://docs.google.com/spreadsheets/d/1SX6NBoVAgQJ6U1MVXOaj8PK2l7WJ3RER9xtqwdhxkhw/edit?usp=sharing"",""สิงห์บุรี!M298"")"),0)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IFERROR(__xludf.DUMMYFUNCTION("IMPORTRANGE(""https://docs.google.com/spreadsheets/d/1SX6NBoVAgQJ6U1MVXOaj8PK2l7WJ3RER9xtqwdhxkhw/edit?usp=sharing"",""สิงห์บุรี!L299"")"),98950)</f>
        <v>98950</v>
      </c>
      <c r="M404" s="165"/>
      <c r="N404" s="169">
        <f ca="1">IFERROR(__xludf.DUMMYFUNCTION("IMPORTRANGE(""https://docs.google.com/spreadsheets/d/1SX6NBoVAgQJ6U1MVXOaj8PK2l7WJ3RER9xtqwdhxkhw/edit?usp=sharing"",""สิงห์บุรี!M299"")"),79819)</f>
        <v>79819</v>
      </c>
      <c r="O404" s="169">
        <f t="shared" ca="1" si="112"/>
        <v>80.665992925720062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IFERROR(__xludf.DUMMYFUNCTION("IMPORTRANGE(""https://docs.google.com/spreadsheets/d/1SX6NBoVAgQJ6U1MVXOaj8PK2l7WJ3RER9xtqwdhxkhw/edit?usp=sharing"",""สิงห์บุรี!L300"")"),0)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IFERROR(__xludf.DUMMYFUNCTION("IMPORTRANGE(""https://docs.google.com/spreadsheets/d/1SX6NBoVAgQJ6U1MVXOaj8PK2l7WJ3RER9xtqwdhxkhw/edit?usp=sharing"",""สิงห์บุรี!M300"")"),0)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IFERROR(__xludf.DUMMYFUNCTION("IMPORTRANGE(""https://docs.google.com/spreadsheets/d/1SX6NBoVAgQJ6U1MVXOaj8PK2l7WJ3RER9xtqwdhxkhw/edit?usp=sharing"",""สิงห์บุรี!L301"")"),98950)</f>
        <v>98950</v>
      </c>
      <c r="M406" s="169"/>
      <c r="N406" s="169">
        <f ca="1">IFERROR(__xludf.DUMMYFUNCTION("IMPORTRANGE(""https://docs.google.com/spreadsheets/d/1SX6NBoVAgQJ6U1MVXOaj8PK2l7WJ3RER9xtqwdhxkhw/edit?usp=sharing"",""สิงห์บุรี!M301"")"),79819)</f>
        <v>79819</v>
      </c>
      <c r="O406" s="169">
        <f t="shared" ca="1" si="112"/>
        <v>80.665992925720062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IFERROR(__xludf.DUMMYFUNCTION("IMPORTRANGE(""https://docs.google.com/spreadsheets/d/1SX6NBoVAgQJ6U1MVXOaj8PK2l7WJ3RER9xtqwdhxkhw/edit?usp=sharing"",""สิงห์บุรี!M302"")"),66424)</f>
        <v>66424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IFERROR(__xludf.DUMMYFUNCTION("IMPORTRANGE(""https://docs.google.com/spreadsheets/d/1SX6NBoVAgQJ6U1MVXOaj8PK2l7WJ3RER9xtqwdhxkhw/edit?usp=sharing"",""สิงห์บุรี!M303"")"),13395)</f>
        <v>13395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IFERROR(__xludf.DUMMYFUNCTION("IMPORTRANGE(""https://docs.google.com/spreadsheets/d/1SX6NBoVAgQJ6U1MVXOaj8PK2l7WJ3RER9xtqwdhxkhw/edit?usp=sharing"",""สิงห์บุรี!M304"")"),0)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IFERROR(__xludf.DUMMYFUNCTION("IMPORTRANGE(""https://docs.google.com/spreadsheets/d/1SX6NBoVAgQJ6U1MVXOaj8PK2l7WJ3RER9xtqwdhxkhw/edit?usp=sharing"",""สิงห์บุรี!M305"")"),0)</f>
        <v>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IFERROR(__xludf.DUMMYFUNCTION("IMPORTRANGE(""https://docs.google.com/spreadsheets/d/1SX6NBoVAgQJ6U1MVXOaj8PK2l7WJ3RER9xtqwdhxkhw/edit?usp=sharing"",""สิงห์บุรี!J307"")"),0)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IFERROR(__xludf.DUMMYFUNCTION("IMPORTRANGE(""https://docs.google.com/spreadsheets/d/1SX6NBoVAgQJ6U1MVXOaj8PK2l7WJ3RER9xtqwdhxkhw/edit?usp=sharing"",""สิงห์บุรี!J308"")"),1)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IFERROR(__xludf.DUMMYFUNCTION("IMPORTRANGE(""https://docs.google.com/spreadsheets/d/1SX6NBoVAgQJ6U1MVXOaj8PK2l7WJ3RER9xtqwdhxkhw/edit?usp=sharing"",""สิงห์บุรี!J309"")"),1)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IFERROR(__xludf.DUMMYFUNCTION("IMPORTRANGE(""https://docs.google.com/spreadsheets/d/1SX6NBoVAgQJ6U1MVXOaj8PK2l7WJ3RER9xtqwdhxkhw/edit?usp=sharing"",""สิงห์บุรี!J310"")"),1)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IFERROR(__xludf.DUMMYFUNCTION("IMPORTRANGE(""https://docs.google.com/spreadsheets/d/1SX6NBoVAgQJ6U1MVXOaj8PK2l7WJ3RER9xtqwdhxkhw/edit?usp=sharing"",""สิงห์บุรี!I311"")"),29)</f>
        <v>29</v>
      </c>
      <c r="J416" s="201">
        <f ca="1">IFERROR(__xludf.DUMMYFUNCTION("IMPORTRANGE(""https://docs.google.com/spreadsheets/d/1SX6NBoVAgQJ6U1MVXOaj8PK2l7WJ3RER9xtqwdhxkhw/edit?usp=sharing"",""สิงห์บุรี!J311"")"),29)</f>
        <v>29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IFERROR(__xludf.DUMMYFUNCTION("IMPORTRANGE(""https://docs.google.com/spreadsheets/d/1SX6NBoVAgQJ6U1MVXOaj8PK2l7WJ3RER9xtqwdhxkhw/edit?usp=sharing"",""สิงห์บุรี!I312"")"),0)</f>
        <v>0</v>
      </c>
      <c r="J417" s="392">
        <f ca="1">IFERROR(__xludf.DUMMYFUNCTION("IMPORTRANGE(""https://docs.google.com/spreadsheets/d/1SX6NBoVAgQJ6U1MVXOaj8PK2l7WJ3RER9xtqwdhxkhw/edit?usp=sharing"",""สิงห์บุรี!J312"")"),0)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IFERROR(__xludf.DUMMYFUNCTION("IMPORTRANGE(""https://docs.google.com/spreadsheets/d/1SX6NBoVAgQJ6U1MVXOaj8PK2l7WJ3RER9xtqwdhxkhw/edit?usp=sharing"",""สิงห์บุรี!I313"")"),0)</f>
        <v>0</v>
      </c>
      <c r="J418" s="393">
        <f ca="1">IFERROR(__xludf.DUMMYFUNCTION("IMPORTRANGE(""https://docs.google.com/spreadsheets/d/1SX6NBoVAgQJ6U1MVXOaj8PK2l7WJ3RER9xtqwdhxkhw/edit?usp=sharing"",""สิงห์บุรี!J313"")"),0)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IFERROR(__xludf.DUMMYFUNCTION("IMPORTRANGE(""https://docs.google.com/spreadsheets/d/1SX6NBoVAgQJ6U1MVXOaj8PK2l7WJ3RER9xtqwdhxkhw/edit?usp=sharing"",""สิงห์บุรี!I314"")"),0)</f>
        <v>0</v>
      </c>
      <c r="J419" s="394">
        <f ca="1">IFERROR(__xludf.DUMMYFUNCTION("IMPORTRANGE(""https://docs.google.com/spreadsheets/d/1SX6NBoVAgQJ6U1MVXOaj8PK2l7WJ3RER9xtqwdhxkhw/edit?usp=sharing"",""สิงห์บุรี!J314"")"),0)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IFERROR(__xludf.DUMMYFUNCTION("IMPORTRANGE(""https://docs.google.com/spreadsheets/d/1SX6NBoVAgQJ6U1MVXOaj8PK2l7WJ3RER9xtqwdhxkhw/edit?usp=sharing"",""สิงห์บุรี!I315"")"),0)</f>
        <v>0</v>
      </c>
      <c r="J420" s="394">
        <f ca="1">IFERROR(__xludf.DUMMYFUNCTION("IMPORTRANGE(""https://docs.google.com/spreadsheets/d/1SX6NBoVAgQJ6U1MVXOaj8PK2l7WJ3RER9xtqwdhxkhw/edit?usp=sharing"",""สิงห์บุรี!J315"")"),0)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IFERROR(__xludf.DUMMYFUNCTION("IMPORTRANGE(""https://docs.google.com/spreadsheets/d/1SX6NBoVAgQJ6U1MVXOaj8PK2l7WJ3RER9xtqwdhxkhw/edit?usp=sharing"",""สิงห์บุรี!I316"")"),19)</f>
        <v>19</v>
      </c>
      <c r="J421" s="392">
        <f ca="1">IFERROR(__xludf.DUMMYFUNCTION("IMPORTRANGE(""https://docs.google.com/spreadsheets/d/1SX6NBoVAgQJ6U1MVXOaj8PK2l7WJ3RER9xtqwdhxkhw/edit?usp=sharing"",""สิงห์บุรี!J316"")"),19)</f>
        <v>19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IFERROR(__xludf.DUMMYFUNCTION("IMPORTRANGE(""https://docs.google.com/spreadsheets/d/1SX6NBoVAgQJ6U1MVXOaj8PK2l7WJ3RER9xtqwdhxkhw/edit?usp=sharing"",""สิงห์บุรี!I317"")"),57)</f>
        <v>57</v>
      </c>
      <c r="J422" s="393">
        <f ca="1">IFERROR(__xludf.DUMMYFUNCTION("IMPORTRANGE(""https://docs.google.com/spreadsheets/d/1SX6NBoVAgQJ6U1MVXOaj8PK2l7WJ3RER9xtqwdhxkhw/edit?usp=sharing"",""สิงห์บุรี!J317"")"),57)</f>
        <v>57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IFERROR(__xludf.DUMMYFUNCTION("IMPORTRANGE(""https://docs.google.com/spreadsheets/d/1SX6NBoVAgQJ6U1MVXOaj8PK2l7WJ3RER9xtqwdhxkhw/edit?usp=sharing"",""สิงห์บุรี!I318"")"),19)</f>
        <v>19</v>
      </c>
      <c r="J423" s="394">
        <f ca="1">IFERROR(__xludf.DUMMYFUNCTION("IMPORTRANGE(""https://docs.google.com/spreadsheets/d/1SX6NBoVAgQJ6U1MVXOaj8PK2l7WJ3RER9xtqwdhxkhw/edit?usp=sharing"",""สิงห์บุรี!J318"")"),19)</f>
        <v>19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IFERROR(__xludf.DUMMYFUNCTION("IMPORTRANGE(""https://docs.google.com/spreadsheets/d/1SX6NBoVAgQJ6U1MVXOaj8PK2l7WJ3RER9xtqwdhxkhw/edit?usp=sharing"",""สิงห์บุรี!I319"")"),19)</f>
        <v>19</v>
      </c>
      <c r="J424" s="394">
        <f ca="1">IFERROR(__xludf.DUMMYFUNCTION("IMPORTRANGE(""https://docs.google.com/spreadsheets/d/1SX6NBoVAgQJ6U1MVXOaj8PK2l7WJ3RER9xtqwdhxkhw/edit?usp=sharing"",""สิงห์บุรี!J319"")"),19)</f>
        <v>19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IFERROR(__xludf.DUMMYFUNCTION("IMPORTRANGE(""https://docs.google.com/spreadsheets/d/1SX6NBoVAgQJ6U1MVXOaj8PK2l7WJ3RER9xtqwdhxkhw/edit?usp=sharing"",""สิงห์บุรี!I320"")"),19)</f>
        <v>19</v>
      </c>
      <c r="J425" s="394">
        <f ca="1">IFERROR(__xludf.DUMMYFUNCTION("IMPORTRANGE(""https://docs.google.com/spreadsheets/d/1SX6NBoVAgQJ6U1MVXOaj8PK2l7WJ3RER9xtqwdhxkhw/edit?usp=sharing"",""สิงห์บุรี!J320"")"),19)</f>
        <v>19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IFERROR(__xludf.DUMMYFUNCTION("IMPORTRANGE(""https://docs.google.com/spreadsheets/d/1SX6NBoVAgQJ6U1MVXOaj8PK2l7WJ3RER9xtqwdhxkhw/edit?usp=sharing"",""สิงห์บุรี!I321"")"),10)</f>
        <v>10</v>
      </c>
      <c r="J426" s="392">
        <f ca="1">IFERROR(__xludf.DUMMYFUNCTION("IMPORTRANGE(""https://docs.google.com/spreadsheets/d/1SX6NBoVAgQJ6U1MVXOaj8PK2l7WJ3RER9xtqwdhxkhw/edit?usp=sharing"",""สิงห์บุรี!J321"")"),10)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IFERROR(__xludf.DUMMYFUNCTION("IMPORTRANGE(""https://docs.google.com/spreadsheets/d/1SX6NBoVAgQJ6U1MVXOaj8PK2l7WJ3RER9xtqwdhxkhw/edit?usp=sharing"",""สิงห์บุรี!I322"")"),30)</f>
        <v>30</v>
      </c>
      <c r="J427" s="393">
        <f ca="1">IFERROR(__xludf.DUMMYFUNCTION("IMPORTRANGE(""https://docs.google.com/spreadsheets/d/1SX6NBoVAgQJ6U1MVXOaj8PK2l7WJ3RER9xtqwdhxkhw/edit?usp=sharing"",""สิงห์บุรี!J322"")"),30)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IFERROR(__xludf.DUMMYFUNCTION("IMPORTRANGE(""https://docs.google.com/spreadsheets/d/1SX6NBoVAgQJ6U1MVXOaj8PK2l7WJ3RER9xtqwdhxkhw/edit?usp=sharing"",""สิงห์บุรี!I323"")"),10)</f>
        <v>10</v>
      </c>
      <c r="J428" s="394">
        <f ca="1">IFERROR(__xludf.DUMMYFUNCTION("IMPORTRANGE(""https://docs.google.com/spreadsheets/d/1SX6NBoVAgQJ6U1MVXOaj8PK2l7WJ3RER9xtqwdhxkhw/edit?usp=sharing"",""สิงห์บุรี!J323"")"),10)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IFERROR(__xludf.DUMMYFUNCTION("IMPORTRANGE(""https://docs.google.com/spreadsheets/d/1SX6NBoVAgQJ6U1MVXOaj8PK2l7WJ3RER9xtqwdhxkhw/edit?usp=sharing"",""สิงห์บุรี!I324"")"),10)</f>
        <v>10</v>
      </c>
      <c r="J429" s="394">
        <f ca="1">IFERROR(__xludf.DUMMYFUNCTION("IMPORTRANGE(""https://docs.google.com/spreadsheets/d/1SX6NBoVAgQJ6U1MVXOaj8PK2l7WJ3RER9xtqwdhxkhw/edit?usp=sharing"",""สิงห์บุรี!J324"")"),10)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IFERROR(__xludf.DUMMYFUNCTION("IMPORTRANGE(""https://docs.google.com/spreadsheets/d/1SX6NBoVAgQJ6U1MVXOaj8PK2l7WJ3RER9xtqwdhxkhw/edit?usp=sharing"",""สิงห์บุรี!I325"")"),19)</f>
        <v>19</v>
      </c>
      <c r="J430" s="392">
        <f ca="1">IFERROR(__xludf.DUMMYFUNCTION("IMPORTRANGE(""https://docs.google.com/spreadsheets/d/1SX6NBoVAgQJ6U1MVXOaj8PK2l7WJ3RER9xtqwdhxkhw/edit?usp=sharing"",""สิงห์บุรี!J325"")"),19)</f>
        <v>19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IFERROR(__xludf.DUMMYFUNCTION("IMPORTRANGE(""https://docs.google.com/spreadsheets/d/1SX6NBoVAgQJ6U1MVXOaj8PK2l7WJ3RER9xtqwdhxkhw/edit?usp=sharing"",""สิงห์บุรี!I326"")"),0)</f>
        <v>0</v>
      </c>
      <c r="J431" s="394">
        <f ca="1">IFERROR(__xludf.DUMMYFUNCTION("IMPORTRANGE(""https://docs.google.com/spreadsheets/d/1SX6NBoVAgQJ6U1MVXOaj8PK2l7WJ3RER9xtqwdhxkhw/edit?usp=sharing"",""สิงห์บุรี!J326"")"),0)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IFERROR(__xludf.DUMMYFUNCTION("IMPORTRANGE(""https://docs.google.com/spreadsheets/d/1SX6NBoVAgQJ6U1MVXOaj8PK2l7WJ3RER9xtqwdhxkhw/edit?usp=sharing"",""สิงห์บุรี!I327"")"),19)</f>
        <v>19</v>
      </c>
      <c r="J432" s="394">
        <f ca="1">IFERROR(__xludf.DUMMYFUNCTION("IMPORTRANGE(""https://docs.google.com/spreadsheets/d/1SX6NBoVAgQJ6U1MVXOaj8PK2l7WJ3RER9xtqwdhxkhw/edit?usp=sharing"",""สิงห์บุรี!J327"")"),19)</f>
        <v>19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IFERROR(__xludf.DUMMYFUNCTION("IMPORTRANGE(""https://docs.google.com/spreadsheets/d/1SX6NBoVAgQJ6U1MVXOaj8PK2l7WJ3RER9xtqwdhxkhw/edit?usp=sharing"",""สิงห์บุรี!J328"")"),0)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IFERROR(__xludf.DUMMYFUNCTION("IMPORTRANGE(""https://docs.google.com/spreadsheets/d/1SX6NBoVAgQJ6U1MVXOaj8PK2l7WJ3RER9xtqwdhxkhw/edit?usp=sharing"",""สิงห์บุรี!J329"")"),0)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IFERROR(__xludf.DUMMYFUNCTION("IMPORTRANGE(""https://docs.google.com/spreadsheets/d/1SX6NBoVAgQJ6U1MVXOaj8PK2l7WJ3RER9xtqwdhxkhw/edit?usp=sharing"",""สิงห์บุรี!I330"")"),10)</f>
        <v>10</v>
      </c>
      <c r="J435" s="410">
        <f ca="1">IFERROR(__xludf.DUMMYFUNCTION("IMPORTRANGE(""https://docs.google.com/spreadsheets/d/1SX6NBoVAgQJ6U1MVXOaj8PK2l7WJ3RER9xtqwdhxkhw/edit?usp=sharing"",""สิงห์บุรี!J330"")"),10)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IFERROR(__xludf.DUMMYFUNCTION("IMPORTRANGE(""https://docs.google.com/spreadsheets/d/1SX6NBoVAgQJ6U1MVXOaj8PK2l7WJ3RER9xtqwdhxkhw/edit?usp=sharing"",""สิงห์บุรี!L330"")"),76000)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IFERROR(__xludf.DUMMYFUNCTION("IMPORTRANGE(""https://docs.google.com/spreadsheets/d/1SX6NBoVAgQJ6U1MVXOaj8PK2l7WJ3RER9xtqwdhxkhw/edit?usp=sharing"",""สิงห์บุรี!M330"")"),12539)</f>
        <v>12539</v>
      </c>
      <c r="O435" s="412">
        <f t="shared" ref="O435:O439" ca="1" si="114">+IF(L435&gt;0,N435*100/L435,0)</f>
        <v>16.498684210526317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IFERROR(__xludf.DUMMYFUNCTION("IMPORTRANGE(""https://docs.google.com/spreadsheets/d/1SX6NBoVAgQJ6U1MVXOaj8PK2l7WJ3RER9xtqwdhxkhw/edit?usp=sharing"",""สิงห์บุรี!L331"")"),0)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IFERROR(__xludf.DUMMYFUNCTION("IMPORTRANGE(""https://docs.google.com/spreadsheets/d/1SX6NBoVAgQJ6U1MVXOaj8PK2l7WJ3RER9xtqwdhxkhw/edit?usp=sharing"",""สิงห์บุรี!M331"")"),0)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IFERROR(__xludf.DUMMYFUNCTION("IMPORTRANGE(""https://docs.google.com/spreadsheets/d/1SX6NBoVAgQJ6U1MVXOaj8PK2l7WJ3RER9xtqwdhxkhw/edit?usp=sharing"",""สิงห์บุรี!L332"")"),76000)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IFERROR(__xludf.DUMMYFUNCTION("IMPORTRANGE(""https://docs.google.com/spreadsheets/d/1SX6NBoVAgQJ6U1MVXOaj8PK2l7WJ3RER9xtqwdhxkhw/edit?usp=sharing"",""สิงห์บุรี!M332"")"),12539)</f>
        <v>12539</v>
      </c>
      <c r="O437" s="169">
        <f t="shared" ca="1" si="114"/>
        <v>16.498684210526317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IFERROR(__xludf.DUMMYFUNCTION("IMPORTRANGE(""https://docs.google.com/spreadsheets/d/1SX6NBoVAgQJ6U1MVXOaj8PK2l7WJ3RER9xtqwdhxkhw/edit?usp=sharing"",""สิงห์บุรี!L333"")"),0)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IFERROR(__xludf.DUMMYFUNCTION("IMPORTRANGE(""https://docs.google.com/spreadsheets/d/1SX6NBoVAgQJ6U1MVXOaj8PK2l7WJ3RER9xtqwdhxkhw/edit?usp=sharing"",""สิงห์บุรี!M333"")"),0)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IFERROR(__xludf.DUMMYFUNCTION("IMPORTRANGE(""https://docs.google.com/spreadsheets/d/1SX6NBoVAgQJ6U1MVXOaj8PK2l7WJ3RER9xtqwdhxkhw/edit?usp=sharing"",""สิงห์บุรี!L334"")"),76000)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IFERROR(__xludf.DUMMYFUNCTION("IMPORTRANGE(""https://docs.google.com/spreadsheets/d/1SX6NBoVAgQJ6U1MVXOaj8PK2l7WJ3RER9xtqwdhxkhw/edit?usp=sharing"",""สิงห์บุรี!M334"")"),12539)</f>
        <v>12539</v>
      </c>
      <c r="O439" s="169">
        <f t="shared" ca="1" si="114"/>
        <v>16.498684210526317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IFERROR(__xludf.DUMMYFUNCTION("IMPORTRANGE(""https://docs.google.com/spreadsheets/d/1SX6NBoVAgQJ6U1MVXOaj8PK2l7WJ3RER9xtqwdhxkhw/edit?usp=sharing"",""สิงห์บุรี!M335"")"),12539)</f>
        <v>12539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IFERROR(__xludf.DUMMYFUNCTION("IMPORTRANGE(""https://docs.google.com/spreadsheets/d/1SX6NBoVAgQJ6U1MVXOaj8PK2l7WJ3RER9xtqwdhxkhw/edit?usp=sharing"",""สิงห์บุรี!M336"")"),0)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IFERROR(__xludf.DUMMYFUNCTION("IMPORTRANGE(""https://docs.google.com/spreadsheets/d/1SX6NBoVAgQJ6U1MVXOaj8PK2l7WJ3RER9xtqwdhxkhw/edit?usp=sharing"",""สิงห์บุรี!M337"")"),0)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IFERROR(__xludf.DUMMYFUNCTION("IMPORTRANGE(""https://docs.google.com/spreadsheets/d/1SX6NBoVAgQJ6U1MVXOaj8PK2l7WJ3RER9xtqwdhxkhw/edit?usp=sharing"",""สิงห์บุรี!M338"")"),0)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IFERROR(__xludf.DUMMYFUNCTION("IMPORTRANGE(""https://docs.google.com/spreadsheets/d/1SX6NBoVAgQJ6U1MVXOaj8PK2l7WJ3RER9xtqwdhxkhw/edit?usp=sharing"",""สิงห์บุรี!J340"")"),0)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IFERROR(__xludf.DUMMYFUNCTION("IMPORTRANGE(""https://docs.google.com/spreadsheets/d/1SX6NBoVAgQJ6U1MVXOaj8PK2l7WJ3RER9xtqwdhxkhw/edit?usp=sharing"",""สิงห์บุรี!J341"")"),1)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IFERROR(__xludf.DUMMYFUNCTION("IMPORTRANGE(""https://docs.google.com/spreadsheets/d/1SX6NBoVAgQJ6U1MVXOaj8PK2l7WJ3RER9xtqwdhxkhw/edit?usp=sharing"",""สิงห์บุรี!J342"")"),1)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IFERROR(__xludf.DUMMYFUNCTION("IMPORTRANGE(""https://docs.google.com/spreadsheets/d/1SX6NBoVAgQJ6U1MVXOaj8PK2l7WJ3RER9xtqwdhxkhw/edit?usp=sharing"",""สิงห์บุรี!J343"")"),1)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IFERROR(__xludf.DUMMYFUNCTION("IMPORTRANGE(""https://docs.google.com/spreadsheets/d/1SX6NBoVAgQJ6U1MVXOaj8PK2l7WJ3RER9xtqwdhxkhw/edit?usp=sharing"",""สิงห์บุรี!I344"")"),10)</f>
        <v>10</v>
      </c>
      <c r="J449" s="201">
        <f ca="1">IFERROR(__xludf.DUMMYFUNCTION("IMPORTRANGE(""https://docs.google.com/spreadsheets/d/1SX6NBoVAgQJ6U1MVXOaj8PK2l7WJ3RER9xtqwdhxkhw/edit?usp=sharing"",""สิงห์บุรี!J344"")"),10)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IFERROR(__xludf.DUMMYFUNCTION("IMPORTRANGE(""https://docs.google.com/spreadsheets/d/1SX6NBoVAgQJ6U1MVXOaj8PK2l7WJ3RER9xtqwdhxkhw/edit?usp=sharing"",""สิงห์บุรี!I345"")"),10)</f>
        <v>10</v>
      </c>
      <c r="J450" s="189">
        <f ca="1">IFERROR(__xludf.DUMMYFUNCTION("IMPORTRANGE(""https://docs.google.com/spreadsheets/d/1SX6NBoVAgQJ6U1MVXOaj8PK2l7WJ3RER9xtqwdhxkhw/edit?usp=sharing"",""สิงห์บุรี!J345"")"),10)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IFERROR(__xludf.DUMMYFUNCTION("IMPORTRANGE(""https://docs.google.com/spreadsheets/d/1SX6NBoVAgQJ6U1MVXOaj8PK2l7WJ3RER9xtqwdhxkhw/edit?usp=sharing"",""สิงห์บุรี!I346"")"),0)</f>
        <v>0</v>
      </c>
      <c r="J451" s="188">
        <f ca="1">IFERROR(__xludf.DUMMYFUNCTION("IMPORTRANGE(""https://docs.google.com/spreadsheets/d/1SX6NBoVAgQJ6U1MVXOaj8PK2l7WJ3RER9xtqwdhxkhw/edit?usp=sharing"",""สิงห์บุรี!J346"")"),0)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IFERROR(__xludf.DUMMYFUNCTION("IMPORTRANGE(""https://docs.google.com/spreadsheets/d/1SX6NBoVAgQJ6U1MVXOaj8PK2l7WJ3RER9xtqwdhxkhw/edit?usp=sharing"",""สิงห์บุรี!I347"")"),0)</f>
        <v>0</v>
      </c>
      <c r="J452" s="188">
        <f ca="1">IFERROR(__xludf.DUMMYFUNCTION("IMPORTRANGE(""https://docs.google.com/spreadsheets/d/1SX6NBoVAgQJ6U1MVXOaj8PK2l7WJ3RER9xtqwdhxkhw/edit?usp=sharing"",""สิงห์บุรี!J347"")"),0)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IFERROR(__xludf.DUMMYFUNCTION("IMPORTRANGE(""https://docs.google.com/spreadsheets/d/1SX6NBoVAgQJ6U1MVXOaj8PK2l7WJ3RER9xtqwdhxkhw/edit?usp=sharing"",""สิงห์บุรี!J348"")"),0)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IFERROR(__xludf.DUMMYFUNCTION("IMPORTRANGE(""https://docs.google.com/spreadsheets/d/1SX6NBoVAgQJ6U1MVXOaj8PK2l7WJ3RER9xtqwdhxkhw/edit?usp=sharing"",""สิงห์บุรี!J349"")"),0)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IFERROR(__xludf.DUMMYFUNCTION("IMPORTRANGE(""https://docs.google.com/spreadsheets/d/1SX6NBoVAgQJ6U1MVXOaj8PK2l7WJ3RER9xtqwdhxkhw/edit?usp=sharing"",""สิงห์บุรี!I350"")"),0)</f>
        <v>0</v>
      </c>
      <c r="J455" s="371">
        <f ca="1">IFERROR(__xludf.DUMMYFUNCTION("IMPORTRANGE(""https://docs.google.com/spreadsheets/d/1SX6NBoVAgQJ6U1MVXOaj8PK2l7WJ3RER9xtqwdhxkhw/edit?usp=sharing"",""สิงห์บุรี!J350"")"),0)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IFERROR(__xludf.DUMMYFUNCTION("IMPORTRANGE(""https://docs.google.com/spreadsheets/d/1SX6NBoVAgQJ6U1MVXOaj8PK2l7WJ3RER9xtqwdhxkhw/edit?usp=sharing"",""สิงห์บุรี!L350"")"),0)</f>
        <v>0</v>
      </c>
      <c r="M455" s="373"/>
      <c r="N455" s="373">
        <f ca="1">IFERROR(__xludf.DUMMYFUNCTION("IMPORTRANGE(""https://docs.google.com/spreadsheets/d/1SX6NBoVAgQJ6U1MVXOaj8PK2l7WJ3RER9xtqwdhxkhw/edit?usp=sharing"",""สิงห์บุรี!M350"")"),0)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IFERROR(__xludf.DUMMYFUNCTION("IMPORTRANGE(""https://docs.google.com/spreadsheets/d/1SX6NBoVAgQJ6U1MVXOaj8PK2l7WJ3RER9xtqwdhxkhw/edit?usp=sharing"",""สิงห์บุรี!L351"")"),0)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IFERROR(__xludf.DUMMYFUNCTION("IMPORTRANGE(""https://docs.google.com/spreadsheets/d/1SX6NBoVAgQJ6U1MVXOaj8PK2l7WJ3RER9xtqwdhxkhw/edit?usp=sharing"",""สิงห์บุรี!M351"")"),0)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IFERROR(__xludf.DUMMYFUNCTION("IMPORTRANGE(""https://docs.google.com/spreadsheets/d/1SX6NBoVAgQJ6U1MVXOaj8PK2l7WJ3RER9xtqwdhxkhw/edit?usp=sharing"",""สิงห์บุรี!L352"")"),0)</f>
        <v>0</v>
      </c>
      <c r="M457" s="165"/>
      <c r="N457" s="169">
        <f ca="1">IFERROR(__xludf.DUMMYFUNCTION("IMPORTRANGE(""https://docs.google.com/spreadsheets/d/1SX6NBoVAgQJ6U1MVXOaj8PK2l7WJ3RER9xtqwdhxkhw/edit?usp=sharing"",""สิงห์บุรี!M352"")"),0)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IFERROR(__xludf.DUMMYFUNCTION("IMPORTRANGE(""https://docs.google.com/spreadsheets/d/1SX6NBoVAgQJ6U1MVXOaj8PK2l7WJ3RER9xtqwdhxkhw/edit?usp=sharing"",""สิงห์บุรี!L353"")"),0)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IFERROR(__xludf.DUMMYFUNCTION("IMPORTRANGE(""https://docs.google.com/spreadsheets/d/1SX6NBoVAgQJ6U1MVXOaj8PK2l7WJ3RER9xtqwdhxkhw/edit?usp=sharing"",""สิงห์บุรี!M353"")"),0)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IFERROR(__xludf.DUMMYFUNCTION("IMPORTRANGE(""https://docs.google.com/spreadsheets/d/1SX6NBoVAgQJ6U1MVXOaj8PK2l7WJ3RER9xtqwdhxkhw/edit?usp=sharing"",""สิงห์บุรี!L354"")"),0)</f>
        <v>0</v>
      </c>
      <c r="M459" s="169"/>
      <c r="N459" s="169">
        <f ca="1">IFERROR(__xludf.DUMMYFUNCTION("IMPORTRANGE(""https://docs.google.com/spreadsheets/d/1SX6NBoVAgQJ6U1MVXOaj8PK2l7WJ3RER9xtqwdhxkhw/edit?usp=sharing"",""สิงห์บุรี!M354"")"),0)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IFERROR(__xludf.DUMMYFUNCTION("IMPORTRANGE(""https://docs.google.com/spreadsheets/d/1SX6NBoVAgQJ6U1MVXOaj8PK2l7WJ3RER9xtqwdhxkhw/edit?usp=sharing"",""สิงห์บุรี!M355"")"),0)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IFERROR(__xludf.DUMMYFUNCTION("IMPORTRANGE(""https://docs.google.com/spreadsheets/d/1SX6NBoVAgQJ6U1MVXOaj8PK2l7WJ3RER9xtqwdhxkhw/edit?usp=sharing"",""สิงห์บุรี!M356"")"),0)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IFERROR(__xludf.DUMMYFUNCTION("IMPORTRANGE(""https://docs.google.com/spreadsheets/d/1SX6NBoVAgQJ6U1MVXOaj8PK2l7WJ3RER9xtqwdhxkhw/edit?usp=sharing"",""สิงห์บุรี!M357"")"),0)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IFERROR(__xludf.DUMMYFUNCTION("IMPORTRANGE(""https://docs.google.com/spreadsheets/d/1SX6NBoVAgQJ6U1MVXOaj8PK2l7WJ3RER9xtqwdhxkhw/edit?usp=sharing"",""สิงห์บุรี!M358"")"),0)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IFERROR(__xludf.DUMMYFUNCTION("IMPORTRANGE(""https://docs.google.com/spreadsheets/d/1SX6NBoVAgQJ6U1MVXOaj8PK2l7WJ3RER9xtqwdhxkhw/edit?usp=sharing"",""สิงห์บุรี!I359"")"),0)</f>
        <v>0</v>
      </c>
      <c r="J464" s="267">
        <f ca="1">IFERROR(__xludf.DUMMYFUNCTION("IMPORTRANGE(""https://docs.google.com/spreadsheets/d/1SX6NBoVAgQJ6U1MVXOaj8PK2l7WJ3RER9xtqwdhxkhw/edit?usp=sharing"",""สิงห์บุรี!J359"")"),0)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IFERROR(__xludf.DUMMYFUNCTION("IMPORTRANGE(""https://docs.google.com/spreadsheets/d/1SX6NBoVAgQJ6U1MVXOaj8PK2l7WJ3RER9xtqwdhxkhw/edit?usp=sharing"",""สิงห์บุรี!I360"")"),0)</f>
        <v>0</v>
      </c>
      <c r="J465" s="420">
        <f ca="1">IFERROR(__xludf.DUMMYFUNCTION("IMPORTRANGE(""https://docs.google.com/spreadsheets/d/1SX6NBoVAgQJ6U1MVXOaj8PK2l7WJ3RER9xtqwdhxkhw/edit?usp=sharing"",""สิงห์บุรี!J360"")"),0)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IFERROR(__xludf.DUMMYFUNCTION("IMPORTRANGE(""https://docs.google.com/spreadsheets/d/1SX6NBoVAgQJ6U1MVXOaj8PK2l7WJ3RER9xtqwdhxkhw/edit?usp=sharing"",""สิงห์บุรี!I361"")"),0)</f>
        <v>0</v>
      </c>
      <c r="J466" s="420">
        <f ca="1">IFERROR(__xludf.DUMMYFUNCTION("IMPORTRANGE(""https://docs.google.com/spreadsheets/d/1SX6NBoVAgQJ6U1MVXOaj8PK2l7WJ3RER9xtqwdhxkhw/edit?usp=sharing"",""สิงห์บุรี!J361"")"),0)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IFERROR(__xludf.DUMMYFUNCTION("IMPORTRANGE(""https://docs.google.com/spreadsheets/d/1SX6NBoVAgQJ6U1MVXOaj8PK2l7WJ3RER9xtqwdhxkhw/edit?usp=sharing"",""สิงห์บุรี!I362"")"),0)</f>
        <v>0</v>
      </c>
      <c r="J467" s="189">
        <f ca="1">IFERROR(__xludf.DUMMYFUNCTION("IMPORTRANGE(""https://docs.google.com/spreadsheets/d/1SX6NBoVAgQJ6U1MVXOaj8PK2l7WJ3RER9xtqwdhxkhw/edit?usp=sharing"",""สิงห์บุรี!J362"")"),0)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IFERROR(__xludf.DUMMYFUNCTION("IMPORTRANGE(""https://docs.google.com/spreadsheets/d/1SX6NBoVAgQJ6U1MVXOaj8PK2l7WJ3RER9xtqwdhxkhw/edit?usp=sharing"",""สิงห์บุรี!I363"")"),0)</f>
        <v>0</v>
      </c>
      <c r="J468" s="189">
        <f ca="1">IFERROR(__xludf.DUMMYFUNCTION("IMPORTRANGE(""https://docs.google.com/spreadsheets/d/1SX6NBoVAgQJ6U1MVXOaj8PK2l7WJ3RER9xtqwdhxkhw/edit?usp=sharing"",""สิงห์บุรี!J363"")"),0)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IFERROR(__xludf.DUMMYFUNCTION("IMPORTRANGE(""https://docs.google.com/spreadsheets/d/1SX6NBoVAgQJ6U1MVXOaj8PK2l7WJ3RER9xtqwdhxkhw/edit?usp=sharing"",""สิงห์บุรี!I364"")"),0)</f>
        <v>0</v>
      </c>
      <c r="J469" s="189">
        <f ca="1">IFERROR(__xludf.DUMMYFUNCTION("IMPORTRANGE(""https://docs.google.com/spreadsheets/d/1SX6NBoVAgQJ6U1MVXOaj8PK2l7WJ3RER9xtqwdhxkhw/edit?usp=sharing"",""สิงห์บุรี!J364"")"),0)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IFERROR(__xludf.DUMMYFUNCTION("IMPORTRANGE(""https://docs.google.com/spreadsheets/d/1SX6NBoVAgQJ6U1MVXOaj8PK2l7WJ3RER9xtqwdhxkhw/edit?usp=sharing"",""สิงห์บุรี!I365"")"),0)</f>
        <v>0</v>
      </c>
      <c r="J470" s="189">
        <f ca="1">IFERROR(__xludf.DUMMYFUNCTION("IMPORTRANGE(""https://docs.google.com/spreadsheets/d/1SX6NBoVAgQJ6U1MVXOaj8PK2l7WJ3RER9xtqwdhxkhw/edit?usp=sharing"",""สิงห์บุรี!J365"")"),0)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IFERROR(__xludf.DUMMYFUNCTION("IMPORTRANGE(""https://docs.google.com/spreadsheets/d/1SX6NBoVAgQJ6U1MVXOaj8PK2l7WJ3RER9xtqwdhxkhw/edit?usp=sharing"",""สิงห์บุรี!I366"")"),0)</f>
        <v>0</v>
      </c>
      <c r="J471" s="189">
        <f ca="1">IFERROR(__xludf.DUMMYFUNCTION("IMPORTRANGE(""https://docs.google.com/spreadsheets/d/1SX6NBoVAgQJ6U1MVXOaj8PK2l7WJ3RER9xtqwdhxkhw/edit?usp=sharing"",""สิงห์บุรี!J366"")"),0)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IFERROR(__xludf.DUMMYFUNCTION("IMPORTRANGE(""https://docs.google.com/spreadsheets/d/1SX6NBoVAgQJ6U1MVXOaj8PK2l7WJ3RER9xtqwdhxkhw/edit?usp=sharing"",""สิงห์บุรี!I367"")"),0)</f>
        <v>0</v>
      </c>
      <c r="J472" s="189">
        <f ca="1">IFERROR(__xludf.DUMMYFUNCTION("IMPORTRANGE(""https://docs.google.com/spreadsheets/d/1SX6NBoVAgQJ6U1MVXOaj8PK2l7WJ3RER9xtqwdhxkhw/edit?usp=sharing"",""สิงห์บุรี!J367"")"),0)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IFERROR(__xludf.DUMMYFUNCTION("IMPORTRANGE(""https://docs.google.com/spreadsheets/d/1SX6NBoVAgQJ6U1MVXOaj8PK2l7WJ3RER9xtqwdhxkhw/edit?usp=sharing"",""สิงห์บุรี!I368"")"),0)</f>
        <v>0</v>
      </c>
      <c r="J473" s="420">
        <f ca="1">IFERROR(__xludf.DUMMYFUNCTION("IMPORTRANGE(""https://docs.google.com/spreadsheets/d/1SX6NBoVAgQJ6U1MVXOaj8PK2l7WJ3RER9xtqwdhxkhw/edit?usp=sharing"",""สิงห์บุรี!J368"")"),0)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IFERROR(__xludf.DUMMYFUNCTION("IMPORTRANGE(""https://docs.google.com/spreadsheets/d/1SX6NBoVAgQJ6U1MVXOaj8PK2l7WJ3RER9xtqwdhxkhw/edit?usp=sharing"",""สิงห์บุรี!I369"")"),0)</f>
        <v>0</v>
      </c>
      <c r="J474" s="420">
        <f ca="1">IFERROR(__xludf.DUMMYFUNCTION("IMPORTRANGE(""https://docs.google.com/spreadsheets/d/1SX6NBoVAgQJ6U1MVXOaj8PK2l7WJ3RER9xtqwdhxkhw/edit?usp=sharing"",""สิงห์บุรี!J369"")"),0)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IFERROR(__xludf.DUMMYFUNCTION("IMPORTRANGE(""https://docs.google.com/spreadsheets/d/1SX6NBoVAgQJ6U1MVXOaj8PK2l7WJ3RER9xtqwdhxkhw/edit?usp=sharing"",""สิงห์บุรี!I370"")"),0)</f>
        <v>0</v>
      </c>
      <c r="J475" s="189">
        <f ca="1">IFERROR(__xludf.DUMMYFUNCTION("IMPORTRANGE(""https://docs.google.com/spreadsheets/d/1SX6NBoVAgQJ6U1MVXOaj8PK2l7WJ3RER9xtqwdhxkhw/edit?usp=sharing"",""สิงห์บุรี!J370"")"),0)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IFERROR(__xludf.DUMMYFUNCTION("IMPORTRANGE(""https://docs.google.com/spreadsheets/d/1SX6NBoVAgQJ6U1MVXOaj8PK2l7WJ3RER9xtqwdhxkhw/edit?usp=sharing"",""สิงห์บุรี!I371"")"),0)</f>
        <v>0</v>
      </c>
      <c r="J476" s="189">
        <f ca="1">IFERROR(__xludf.DUMMYFUNCTION("IMPORTRANGE(""https://docs.google.com/spreadsheets/d/1SX6NBoVAgQJ6U1MVXOaj8PK2l7WJ3RER9xtqwdhxkhw/edit?usp=sharing"",""สิงห์บุรี!J371"")"),0)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IFERROR(__xludf.DUMMYFUNCTION("IMPORTRANGE(""https://docs.google.com/spreadsheets/d/1SX6NBoVAgQJ6U1MVXOaj8PK2l7WJ3RER9xtqwdhxkhw/edit?usp=sharing"",""สิงห์บุรี!I372"")"),0)</f>
        <v>0</v>
      </c>
      <c r="J477" s="189">
        <f ca="1">IFERROR(__xludf.DUMMYFUNCTION("IMPORTRANGE(""https://docs.google.com/spreadsheets/d/1SX6NBoVAgQJ6U1MVXOaj8PK2l7WJ3RER9xtqwdhxkhw/edit?usp=sharing"",""สิงห์บุรี!J372"")"),0)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IFERROR(__xludf.DUMMYFUNCTION("IMPORTRANGE(""https://docs.google.com/spreadsheets/d/1SX6NBoVAgQJ6U1MVXOaj8PK2l7WJ3RER9xtqwdhxkhw/edit?usp=sharing"",""สิงห์บุรี!I373"")"),0)</f>
        <v>0</v>
      </c>
      <c r="J478" s="189">
        <f ca="1">IFERROR(__xludf.DUMMYFUNCTION("IMPORTRANGE(""https://docs.google.com/spreadsheets/d/1SX6NBoVAgQJ6U1MVXOaj8PK2l7WJ3RER9xtqwdhxkhw/edit?usp=sharing"",""สิงห์บุรี!J373"")"),0)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IFERROR(__xludf.DUMMYFUNCTION("IMPORTRANGE(""https://docs.google.com/spreadsheets/d/1SX6NBoVAgQJ6U1MVXOaj8PK2l7WJ3RER9xtqwdhxkhw/edit?usp=sharing"",""สิงห์บุรี!I374"")"),0)</f>
        <v>0</v>
      </c>
      <c r="J479" s="189">
        <f ca="1">IFERROR(__xludf.DUMMYFUNCTION("IMPORTRANGE(""https://docs.google.com/spreadsheets/d/1SX6NBoVAgQJ6U1MVXOaj8PK2l7WJ3RER9xtqwdhxkhw/edit?usp=sharing"",""สิงห์บุรี!J374"")"),0)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IFERROR(__xludf.DUMMYFUNCTION("IMPORTRANGE(""https://docs.google.com/spreadsheets/d/1SX6NBoVAgQJ6U1MVXOaj8PK2l7WJ3RER9xtqwdhxkhw/edit?usp=sharing"",""สิงห์บุรี!I375"")"),0)</f>
        <v>0</v>
      </c>
      <c r="J480" s="189">
        <f ca="1">IFERROR(__xludf.DUMMYFUNCTION("IMPORTRANGE(""https://docs.google.com/spreadsheets/d/1SX6NBoVAgQJ6U1MVXOaj8PK2l7WJ3RER9xtqwdhxkhw/edit?usp=sharing"",""สิงห์บุรี!J375"")"),0)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IFERROR(__xludf.DUMMYFUNCTION("IMPORTRANGE(""https://docs.google.com/spreadsheets/d/1SX6NBoVAgQJ6U1MVXOaj8PK2l7WJ3RER9xtqwdhxkhw/edit?usp=sharing"",""สิงห์บุรี!I376"")"),0)</f>
        <v>0</v>
      </c>
      <c r="J481" s="420">
        <f ca="1">IFERROR(__xludf.DUMMYFUNCTION("IMPORTRANGE(""https://docs.google.com/spreadsheets/d/1SX6NBoVAgQJ6U1MVXOaj8PK2l7WJ3RER9xtqwdhxkhw/edit?usp=sharing"",""สิงห์บุรี!J376"")"),0)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IFERROR(__xludf.DUMMYFUNCTION("IMPORTRANGE(""https://docs.google.com/spreadsheets/d/1SX6NBoVAgQJ6U1MVXOaj8PK2l7WJ3RER9xtqwdhxkhw/edit?usp=sharing"",""สิงห์บุรี!I377"")"),0)</f>
        <v>0</v>
      </c>
      <c r="J482" s="420">
        <f ca="1">IFERROR(__xludf.DUMMYFUNCTION("IMPORTRANGE(""https://docs.google.com/spreadsheets/d/1SX6NBoVAgQJ6U1MVXOaj8PK2l7WJ3RER9xtqwdhxkhw/edit?usp=sharing"",""สิงห์บุรี!J377"")"),0)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IFERROR(__xludf.DUMMYFUNCTION("IMPORTRANGE(""https://docs.google.com/spreadsheets/d/1SX6NBoVAgQJ6U1MVXOaj8PK2l7WJ3RER9xtqwdhxkhw/edit?usp=sharing"",""สิงห์บุรี!I378"")"),0)</f>
        <v>0</v>
      </c>
      <c r="J483" s="189">
        <f ca="1">IFERROR(__xludf.DUMMYFUNCTION("IMPORTRANGE(""https://docs.google.com/spreadsheets/d/1SX6NBoVAgQJ6U1MVXOaj8PK2l7WJ3RER9xtqwdhxkhw/edit?usp=sharing"",""สิงห์บุรี!J378"")"),0)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IFERROR(__xludf.DUMMYFUNCTION("IMPORTRANGE(""https://docs.google.com/spreadsheets/d/1SX6NBoVAgQJ6U1MVXOaj8PK2l7WJ3RER9xtqwdhxkhw/edit?usp=sharing"",""สิงห์บุรี!I379"")"),0)</f>
        <v>0</v>
      </c>
      <c r="J484" s="189">
        <f ca="1">IFERROR(__xludf.DUMMYFUNCTION("IMPORTRANGE(""https://docs.google.com/spreadsheets/d/1SX6NBoVAgQJ6U1MVXOaj8PK2l7WJ3RER9xtqwdhxkhw/edit?usp=sharing"",""สิงห์บุรี!J379"")"),0)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IFERROR(__xludf.DUMMYFUNCTION("IMPORTRANGE(""https://docs.google.com/spreadsheets/d/1SX6NBoVAgQJ6U1MVXOaj8PK2l7WJ3RER9xtqwdhxkhw/edit?usp=sharing"",""สิงห์บุรี!I380"")"),0)</f>
        <v>0</v>
      </c>
      <c r="J485" s="189">
        <f ca="1">IFERROR(__xludf.DUMMYFUNCTION("IMPORTRANGE(""https://docs.google.com/spreadsheets/d/1SX6NBoVAgQJ6U1MVXOaj8PK2l7WJ3RER9xtqwdhxkhw/edit?usp=sharing"",""สิงห์บุรี!J380"")"),0)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IFERROR(__xludf.DUMMYFUNCTION("IMPORTRANGE(""https://docs.google.com/spreadsheets/d/1SX6NBoVAgQJ6U1MVXOaj8PK2l7WJ3RER9xtqwdhxkhw/edit?usp=sharing"",""สิงห์บุรี!I381"")"),0)</f>
        <v>0</v>
      </c>
      <c r="J486" s="189">
        <f ca="1">IFERROR(__xludf.DUMMYFUNCTION("IMPORTRANGE(""https://docs.google.com/spreadsheets/d/1SX6NBoVAgQJ6U1MVXOaj8PK2l7WJ3RER9xtqwdhxkhw/edit?usp=sharing"",""สิงห์บุรี!J381"")"),0)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IFERROR(__xludf.DUMMYFUNCTION("IMPORTRANGE(""https://docs.google.com/spreadsheets/d/1SX6NBoVAgQJ6U1MVXOaj8PK2l7WJ3RER9xtqwdhxkhw/edit?usp=sharing"",""สิงห์บุรี!I382"")"),0)</f>
        <v>0</v>
      </c>
      <c r="J487" s="420">
        <f ca="1">IFERROR(__xludf.DUMMYFUNCTION("IMPORTRANGE(""https://docs.google.com/spreadsheets/d/1SX6NBoVAgQJ6U1MVXOaj8PK2l7WJ3RER9xtqwdhxkhw/edit?usp=sharing"",""สิงห์บุรี!J382"")"),0)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IFERROR(__xludf.DUMMYFUNCTION("IMPORTRANGE(""https://docs.google.com/spreadsheets/d/1SX6NBoVAgQJ6U1MVXOaj8PK2l7WJ3RER9xtqwdhxkhw/edit?usp=sharing"",""สิงห์บุรี!I383"")"),0)</f>
        <v>0</v>
      </c>
      <c r="J488" s="420">
        <f ca="1">IFERROR(__xludf.DUMMYFUNCTION("IMPORTRANGE(""https://docs.google.com/spreadsheets/d/1SX6NBoVAgQJ6U1MVXOaj8PK2l7WJ3RER9xtqwdhxkhw/edit?usp=sharing"",""สิงห์บุรี!J383"")"),0)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IFERROR(__xludf.DUMMYFUNCTION("IMPORTRANGE(""https://docs.google.com/spreadsheets/d/1SX6NBoVAgQJ6U1MVXOaj8PK2l7WJ3RER9xtqwdhxkhw/edit?usp=sharing"",""สิงห์บุรี!I384"")"),0)</f>
        <v>0</v>
      </c>
      <c r="J489" s="189">
        <f ca="1">IFERROR(__xludf.DUMMYFUNCTION("IMPORTRANGE(""https://docs.google.com/spreadsheets/d/1SX6NBoVAgQJ6U1MVXOaj8PK2l7WJ3RER9xtqwdhxkhw/edit?usp=sharing"",""สิงห์บุรี!J384"")"),0)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IFERROR(__xludf.DUMMYFUNCTION("IMPORTRANGE(""https://docs.google.com/spreadsheets/d/1SX6NBoVAgQJ6U1MVXOaj8PK2l7WJ3RER9xtqwdhxkhw/edit?usp=sharing"",""สิงห์บุรี!I385"")"),0)</f>
        <v>0</v>
      </c>
      <c r="J490" s="189">
        <f ca="1">IFERROR(__xludf.DUMMYFUNCTION("IMPORTRANGE(""https://docs.google.com/spreadsheets/d/1SX6NBoVAgQJ6U1MVXOaj8PK2l7WJ3RER9xtqwdhxkhw/edit?usp=sharing"",""สิงห์บุรี!J385"")"),0)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IFERROR(__xludf.DUMMYFUNCTION("IMPORTRANGE(""https://docs.google.com/spreadsheets/d/1SX6NBoVAgQJ6U1MVXOaj8PK2l7WJ3RER9xtqwdhxkhw/edit?usp=sharing"",""สิงห์บุรี!I386"")"),0)</f>
        <v>0</v>
      </c>
      <c r="J491" s="189">
        <f ca="1">IFERROR(__xludf.DUMMYFUNCTION("IMPORTRANGE(""https://docs.google.com/spreadsheets/d/1SX6NBoVAgQJ6U1MVXOaj8PK2l7WJ3RER9xtqwdhxkhw/edit?usp=sharing"",""สิงห์บุรี!J386"")"),0)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IFERROR(__xludf.DUMMYFUNCTION("IMPORTRANGE(""https://docs.google.com/spreadsheets/d/1SX6NBoVAgQJ6U1MVXOaj8PK2l7WJ3RER9xtqwdhxkhw/edit?usp=sharing"",""สิงห์บุรี!I387"")"),0)</f>
        <v>0</v>
      </c>
      <c r="J492" s="189">
        <f ca="1">IFERROR(__xludf.DUMMYFUNCTION("IMPORTRANGE(""https://docs.google.com/spreadsheets/d/1SX6NBoVAgQJ6U1MVXOaj8PK2l7WJ3RER9xtqwdhxkhw/edit?usp=sharing"",""สิงห์บุรี!J387"")"),0)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IFERROR(__xludf.DUMMYFUNCTION("IMPORTRANGE(""https://docs.google.com/spreadsheets/d/1SX6NBoVAgQJ6U1MVXOaj8PK2l7WJ3RER9xtqwdhxkhw/edit?usp=sharing"",""สิงห์บุรี!I388"")"),0)</f>
        <v>0</v>
      </c>
      <c r="J493" s="189">
        <f ca="1">IFERROR(__xludf.DUMMYFUNCTION("IMPORTRANGE(""https://docs.google.com/spreadsheets/d/1SX6NBoVAgQJ6U1MVXOaj8PK2l7WJ3RER9xtqwdhxkhw/edit?usp=sharing"",""สิงห์บุรี!J388"")"),0)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IFERROR(__xludf.DUMMYFUNCTION("IMPORTRANGE(""https://docs.google.com/spreadsheets/d/1SX6NBoVAgQJ6U1MVXOaj8PK2l7WJ3RER9xtqwdhxkhw/edit?usp=sharing"",""สิงห์บุรี!I389"")"),0)</f>
        <v>0</v>
      </c>
      <c r="J494" s="436">
        <f ca="1">IFERROR(__xludf.DUMMYFUNCTION("IMPORTRANGE(""https://docs.google.com/spreadsheets/d/1SX6NBoVAgQJ6U1MVXOaj8PK2l7WJ3RER9xtqwdhxkhw/edit?usp=sharing"",""สิงห์บุรี!J389"")"),0)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IFERROR(__xludf.DUMMYFUNCTION("IMPORTRANGE(""https://docs.google.com/spreadsheets/d/1SX6NBoVAgQJ6U1MVXOaj8PK2l7WJ3RER9xtqwdhxkhw/edit?usp=sharing"",""สิงห์บุรี!I390"")"),0)</f>
        <v>0</v>
      </c>
      <c r="J495" s="436">
        <f ca="1">IFERROR(__xludf.DUMMYFUNCTION("IMPORTRANGE(""https://docs.google.com/spreadsheets/d/1SX6NBoVAgQJ6U1MVXOaj8PK2l7WJ3RER9xtqwdhxkhw/edit?usp=sharing"",""สิงห์บุรี!J390"")"),0)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IFERROR(__xludf.DUMMYFUNCTION("IMPORTRANGE(""https://docs.google.com/spreadsheets/d/1SX6NBoVAgQJ6U1MVXOaj8PK2l7WJ3RER9xtqwdhxkhw/edit?usp=sharing"",""สิงห์บุรี!I391"")"),0)</f>
        <v>0</v>
      </c>
      <c r="J496" s="436">
        <f ca="1">IFERROR(__xludf.DUMMYFUNCTION("IMPORTRANGE(""https://docs.google.com/spreadsheets/d/1SX6NBoVAgQJ6U1MVXOaj8PK2l7WJ3RER9xtqwdhxkhw/edit?usp=sharing"",""สิงห์บุรี!J391"")"),0)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IFERROR(__xludf.DUMMYFUNCTION("IMPORTRANGE(""https://docs.google.com/spreadsheets/d/1SX6NBoVAgQJ6U1MVXOaj8PK2l7WJ3RER9xtqwdhxkhw/edit?usp=sharing"",""สิงห์บุรี!I392"")"),0)</f>
        <v>0</v>
      </c>
      <c r="J497" s="443">
        <f ca="1">IFERROR(__xludf.DUMMYFUNCTION("IMPORTRANGE(""https://docs.google.com/spreadsheets/d/1SX6NBoVAgQJ6U1MVXOaj8PK2l7WJ3RER9xtqwdhxkhw/edit?usp=sharing"",""สิงห์บุรี!J392"")"),0)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IFERROR(__xludf.DUMMYFUNCTION("IMPORTRANGE(""https://docs.google.com/spreadsheets/d/1SX6NBoVAgQJ6U1MVXOaj8PK2l7WJ3RER9xtqwdhxkhw/edit?usp=sharing"",""สิงห์บุรี!I393"")"),0)</f>
        <v>0</v>
      </c>
      <c r="J498" s="420">
        <f ca="1">IFERROR(__xludf.DUMMYFUNCTION("IMPORTRANGE(""https://docs.google.com/spreadsheets/d/1SX6NBoVAgQJ6U1MVXOaj8PK2l7WJ3RER9xtqwdhxkhw/edit?usp=sharing"",""สิงห์บุรี!J393"")"),0)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IFERROR(__xludf.DUMMYFUNCTION("IMPORTRANGE(""https://docs.google.com/spreadsheets/d/1SX6NBoVAgQJ6U1MVXOaj8PK2l7WJ3RER9xtqwdhxkhw/edit?usp=sharing"",""สิงห์บุรี!I394"")"),0)</f>
        <v>0</v>
      </c>
      <c r="J499" s="420">
        <f ca="1">IFERROR(__xludf.DUMMYFUNCTION("IMPORTRANGE(""https://docs.google.com/spreadsheets/d/1SX6NBoVAgQJ6U1MVXOaj8PK2l7WJ3RER9xtqwdhxkhw/edit?usp=sharing"",""สิงห์บุรี!J394"")"),0)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IFERROR(__xludf.DUMMYFUNCTION("IMPORTRANGE(""https://docs.google.com/spreadsheets/d/1SX6NBoVAgQJ6U1MVXOaj8PK2l7WJ3RER9xtqwdhxkhw/edit?usp=sharing"",""สิงห์บุรี!I395"")"),0)</f>
        <v>0</v>
      </c>
      <c r="J500" s="162">
        <f ca="1">IFERROR(__xludf.DUMMYFUNCTION("IMPORTRANGE(""https://docs.google.com/spreadsheets/d/1SX6NBoVAgQJ6U1MVXOaj8PK2l7WJ3RER9xtqwdhxkhw/edit?usp=sharing"",""สิงห์บุรี!J395"")"),0)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IFERROR(__xludf.DUMMYFUNCTION("IMPORTRANGE(""https://docs.google.com/spreadsheets/d/1SX6NBoVAgQJ6U1MVXOaj8PK2l7WJ3RER9xtqwdhxkhw/edit?usp=sharing"",""สิงห์บุรี!I396"")"),0)</f>
        <v>0</v>
      </c>
      <c r="J501" s="162">
        <f ca="1">IFERROR(__xludf.DUMMYFUNCTION("IMPORTRANGE(""https://docs.google.com/spreadsheets/d/1SX6NBoVAgQJ6U1MVXOaj8PK2l7WJ3RER9xtqwdhxkhw/edit?usp=sharing"",""สิงห์บุรี!J396"")"),0)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IFERROR(__xludf.DUMMYFUNCTION("IMPORTRANGE(""https://docs.google.com/spreadsheets/d/1SX6NBoVAgQJ6U1MVXOaj8PK2l7WJ3RER9xtqwdhxkhw/edit?usp=sharing"",""สิงห์บุรี!I397"")"),0)</f>
        <v>0</v>
      </c>
      <c r="J502" s="189">
        <f ca="1">IFERROR(__xludf.DUMMYFUNCTION("IMPORTRANGE(""https://docs.google.com/spreadsheets/d/1SX6NBoVAgQJ6U1MVXOaj8PK2l7WJ3RER9xtqwdhxkhw/edit?usp=sharing"",""สิงห์บุรี!J397"")"),0)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IFERROR(__xludf.DUMMYFUNCTION("IMPORTRANGE(""https://docs.google.com/spreadsheets/d/1SX6NBoVAgQJ6U1MVXOaj8PK2l7WJ3RER9xtqwdhxkhw/edit?usp=sharing"",""สิงห์บุรี!I398"")"),0)</f>
        <v>0</v>
      </c>
      <c r="J503" s="198">
        <f ca="1">IFERROR(__xludf.DUMMYFUNCTION("IMPORTRANGE(""https://docs.google.com/spreadsheets/d/1SX6NBoVAgQJ6U1MVXOaj8PK2l7WJ3RER9xtqwdhxkhw/edit?usp=sharing"",""สิงห์บุรี!J398"")"),0)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IFERROR(__xludf.DUMMYFUNCTION("IMPORTRANGE(""https://docs.google.com/spreadsheets/d/1SX6NBoVAgQJ6U1MVXOaj8PK2l7WJ3RER9xtqwdhxkhw/edit?usp=sharing"",""สิงห์บุรี!I399"")"),0)</f>
        <v>0</v>
      </c>
      <c r="J504" s="189">
        <f ca="1">IFERROR(__xludf.DUMMYFUNCTION("IMPORTRANGE(""https://docs.google.com/spreadsheets/d/1SX6NBoVAgQJ6U1MVXOaj8PK2l7WJ3RER9xtqwdhxkhw/edit?usp=sharing"",""สิงห์บุรี!J399"")"),0)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IFERROR(__xludf.DUMMYFUNCTION("IMPORTRANGE(""https://docs.google.com/spreadsheets/d/1SX6NBoVAgQJ6U1MVXOaj8PK2l7WJ3RER9xtqwdhxkhw/edit?usp=sharing"",""สิงห์บุรี!I400"")"),0)</f>
        <v>0</v>
      </c>
      <c r="J505" s="198">
        <f ca="1">IFERROR(__xludf.DUMMYFUNCTION("IMPORTRANGE(""https://docs.google.com/spreadsheets/d/1SX6NBoVAgQJ6U1MVXOaj8PK2l7WJ3RER9xtqwdhxkhw/edit?usp=sharing"",""สิงห์บุรี!J400"")"),0)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IFERROR(__xludf.DUMMYFUNCTION("IMPORTRANGE(""https://docs.google.com/spreadsheets/d/1SX6NBoVAgQJ6U1MVXOaj8PK2l7WJ3RER9xtqwdhxkhw/edit?usp=sharing"",""สิงห์บุรี!I401"")"),0)</f>
        <v>0</v>
      </c>
      <c r="J506" s="189">
        <f ca="1">IFERROR(__xludf.DUMMYFUNCTION("IMPORTRANGE(""https://docs.google.com/spreadsheets/d/1SX6NBoVAgQJ6U1MVXOaj8PK2l7WJ3RER9xtqwdhxkhw/edit?usp=sharing"",""สิงห์บุรี!J401"")"),0)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IFERROR(__xludf.DUMMYFUNCTION("IMPORTRANGE(""https://docs.google.com/spreadsheets/d/1SX6NBoVAgQJ6U1MVXOaj8PK2l7WJ3RER9xtqwdhxkhw/edit?usp=sharing"",""สิงห์บุรี!I402"")"),0)</f>
        <v>0</v>
      </c>
      <c r="J507" s="198">
        <f ca="1">IFERROR(__xludf.DUMMYFUNCTION("IMPORTRANGE(""https://docs.google.com/spreadsheets/d/1SX6NBoVAgQJ6U1MVXOaj8PK2l7WJ3RER9xtqwdhxkhw/edit?usp=sharing"",""สิงห์บุรี!J402"")"),0)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IFERROR(__xludf.DUMMYFUNCTION("IMPORTRANGE(""https://docs.google.com/spreadsheets/d/1SX6NBoVAgQJ6U1MVXOaj8PK2l7WJ3RER9xtqwdhxkhw/edit?usp=sharing"",""สิงห์บุรี!I403"")"),0)</f>
        <v>0</v>
      </c>
      <c r="J508" s="162">
        <f ca="1">IFERROR(__xludf.DUMMYFUNCTION("IMPORTRANGE(""https://docs.google.com/spreadsheets/d/1SX6NBoVAgQJ6U1MVXOaj8PK2l7WJ3RER9xtqwdhxkhw/edit?usp=sharing"",""สิงห์บุรี!J403"")"),0)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IFERROR(__xludf.DUMMYFUNCTION("IMPORTRANGE(""https://docs.google.com/spreadsheets/d/1SX6NBoVAgQJ6U1MVXOaj8PK2l7WJ3RER9xtqwdhxkhw/edit?usp=sharing"",""สิงห์บุรี!I404"")"),0)</f>
        <v>0</v>
      </c>
      <c r="J509" s="162">
        <f ca="1">IFERROR(__xludf.DUMMYFUNCTION("IMPORTRANGE(""https://docs.google.com/spreadsheets/d/1SX6NBoVAgQJ6U1MVXOaj8PK2l7WJ3RER9xtqwdhxkhw/edit?usp=sharing"",""สิงห์บุรี!J404"")"),0)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IFERROR(__xludf.DUMMYFUNCTION("IMPORTRANGE(""https://docs.google.com/spreadsheets/d/1SX6NBoVAgQJ6U1MVXOaj8PK2l7WJ3RER9xtqwdhxkhw/edit?usp=sharing"",""สิงห์บุรี!I405"")"),0)</f>
        <v>0</v>
      </c>
      <c r="J510" s="198">
        <f ca="1">IFERROR(__xludf.DUMMYFUNCTION("IMPORTRANGE(""https://docs.google.com/spreadsheets/d/1SX6NBoVAgQJ6U1MVXOaj8PK2l7WJ3RER9xtqwdhxkhw/edit?usp=sharing"",""สิงห์บุรี!J405"")"),0)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IFERROR(__xludf.DUMMYFUNCTION("IMPORTRANGE(""https://docs.google.com/spreadsheets/d/1SX6NBoVAgQJ6U1MVXOaj8PK2l7WJ3RER9xtqwdhxkhw/edit?usp=sharing"",""สิงห์บุรี!I406"")"),0)</f>
        <v>0</v>
      </c>
      <c r="J511" s="198">
        <f ca="1">IFERROR(__xludf.DUMMYFUNCTION("IMPORTRANGE(""https://docs.google.com/spreadsheets/d/1SX6NBoVAgQJ6U1MVXOaj8PK2l7WJ3RER9xtqwdhxkhw/edit?usp=sharing"",""สิงห์บุรี!J406"")"),0)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IFERROR(__xludf.DUMMYFUNCTION("IMPORTRANGE(""https://docs.google.com/spreadsheets/d/1SX6NBoVAgQJ6U1MVXOaj8PK2l7WJ3RER9xtqwdhxkhw/edit?usp=sharing"",""สิงห์บุรี!I407"")"),0)</f>
        <v>0</v>
      </c>
      <c r="J512" s="198">
        <f ca="1">IFERROR(__xludf.DUMMYFUNCTION("IMPORTRANGE(""https://docs.google.com/spreadsheets/d/1SX6NBoVAgQJ6U1MVXOaj8PK2l7WJ3RER9xtqwdhxkhw/edit?usp=sharing"",""สิงห์บุรี!J407"")"),0)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IFERROR(__xludf.DUMMYFUNCTION("IMPORTRANGE(""https://docs.google.com/spreadsheets/d/1SX6NBoVAgQJ6U1MVXOaj8PK2l7WJ3RER9xtqwdhxkhw/edit?usp=sharing"",""สิงห์บุรี!I408"")"),0)</f>
        <v>0</v>
      </c>
      <c r="J513" s="198">
        <f ca="1">IFERROR(__xludf.DUMMYFUNCTION("IMPORTRANGE(""https://docs.google.com/spreadsheets/d/1SX6NBoVAgQJ6U1MVXOaj8PK2l7WJ3RER9xtqwdhxkhw/edit?usp=sharing"",""สิงห์บุรี!J408"")"),0)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IFERROR(__xludf.DUMMYFUNCTION("IMPORTRANGE(""https://docs.google.com/spreadsheets/d/1SX6NBoVAgQJ6U1MVXOaj8PK2l7WJ3RER9xtqwdhxkhw/edit?usp=sharing"",""สิงห์บุรี!I409"")"),0)</f>
        <v>0</v>
      </c>
      <c r="J514" s="198">
        <f ca="1">IFERROR(__xludf.DUMMYFUNCTION("IMPORTRANGE(""https://docs.google.com/spreadsheets/d/1SX6NBoVAgQJ6U1MVXOaj8PK2l7WJ3RER9xtqwdhxkhw/edit?usp=sharing"",""สิงห์บุรี!J409"")"),0)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IFERROR(__xludf.DUMMYFUNCTION("IMPORTRANGE(""https://docs.google.com/spreadsheets/d/1SX6NBoVAgQJ6U1MVXOaj8PK2l7WJ3RER9xtqwdhxkhw/edit?usp=sharing"",""สิงห์บุรี!I410"")"),0)</f>
        <v>0</v>
      </c>
      <c r="J515" s="198">
        <f ca="1">IFERROR(__xludf.DUMMYFUNCTION("IMPORTRANGE(""https://docs.google.com/spreadsheets/d/1SX6NBoVAgQJ6U1MVXOaj8PK2l7WJ3RER9xtqwdhxkhw/edit?usp=sharing"",""สิงห์บุรี!J410"")"),0)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IFERROR(__xludf.DUMMYFUNCTION("IMPORTRANGE(""https://docs.google.com/spreadsheets/d/1SX6NBoVAgQJ6U1MVXOaj8PK2l7WJ3RER9xtqwdhxkhw/edit?usp=sharing"",""สิงห์บุรี!I411"")"),0)</f>
        <v>0</v>
      </c>
      <c r="J516" s="267">
        <f ca="1">IFERROR(__xludf.DUMMYFUNCTION("IMPORTRANGE(""https://docs.google.com/spreadsheets/d/1SX6NBoVAgQJ6U1MVXOaj8PK2l7WJ3RER9xtqwdhxkhw/edit?usp=sharing"",""สิงห์บุรี!J411"")"),0)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IFERROR(__xludf.DUMMYFUNCTION("IMPORTRANGE(""https://docs.google.com/spreadsheets/d/1SX6NBoVAgQJ6U1MVXOaj8PK2l7WJ3RER9xtqwdhxkhw/edit?usp=sharing"",""สิงห์บุรี!I412"")"),0)</f>
        <v>0</v>
      </c>
      <c r="J517" s="284">
        <f ca="1">IFERROR(__xludf.DUMMYFUNCTION("IMPORTRANGE(""https://docs.google.com/spreadsheets/d/1SX6NBoVAgQJ6U1MVXOaj8PK2l7WJ3RER9xtqwdhxkhw/edit?usp=sharing"",""สิงห์บุรี!J412"")"),0)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IFERROR(__xludf.DUMMYFUNCTION("IMPORTRANGE(""https://docs.google.com/spreadsheets/d/1SX6NBoVAgQJ6U1MVXOaj8PK2l7WJ3RER9xtqwdhxkhw/edit?usp=sharing"",""สิงห์บุรี!I413"")"),0)</f>
        <v>0</v>
      </c>
      <c r="J518" s="284">
        <f ca="1">IFERROR(__xludf.DUMMYFUNCTION("IMPORTRANGE(""https://docs.google.com/spreadsheets/d/1SX6NBoVAgQJ6U1MVXOaj8PK2l7WJ3RER9xtqwdhxkhw/edit?usp=sharing"",""สิงห์บุรี!J413"")"),0)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IFERROR(__xludf.DUMMYFUNCTION("IMPORTRANGE(""https://docs.google.com/spreadsheets/d/1SX6NBoVAgQJ6U1MVXOaj8PK2l7WJ3RER9xtqwdhxkhw/edit?usp=sharing"",""สิงห์บุรี!I414"")"),0)</f>
        <v>0</v>
      </c>
      <c r="J519" s="188">
        <f ca="1">IFERROR(__xludf.DUMMYFUNCTION("IMPORTRANGE(""https://docs.google.com/spreadsheets/d/1SX6NBoVAgQJ6U1MVXOaj8PK2l7WJ3RER9xtqwdhxkhw/edit?usp=sharing"",""สิงห์บุรี!J414"")"),0)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IFERROR(__xludf.DUMMYFUNCTION("IMPORTRANGE(""https://docs.google.com/spreadsheets/d/1SX6NBoVAgQJ6U1MVXOaj8PK2l7WJ3RER9xtqwdhxkhw/edit?usp=sharing"",""สิงห์บุรี!I415"")"),0)</f>
        <v>0</v>
      </c>
      <c r="J520" s="188">
        <f ca="1">IFERROR(__xludf.DUMMYFUNCTION("IMPORTRANGE(""https://docs.google.com/spreadsheets/d/1SX6NBoVAgQJ6U1MVXOaj8PK2l7WJ3RER9xtqwdhxkhw/edit?usp=sharing"",""สิงห์บุรี!J415"")"),0)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IFERROR(__xludf.DUMMYFUNCTION("IMPORTRANGE(""https://docs.google.com/spreadsheets/d/1SX6NBoVAgQJ6U1MVXOaj8PK2l7WJ3RER9xtqwdhxkhw/edit?usp=sharing"",""สิงห์บุรี!I416"")"),0)</f>
        <v>0</v>
      </c>
      <c r="J521" s="188">
        <f ca="1">IFERROR(__xludf.DUMMYFUNCTION("IMPORTRANGE(""https://docs.google.com/spreadsheets/d/1SX6NBoVAgQJ6U1MVXOaj8PK2l7WJ3RER9xtqwdhxkhw/edit?usp=sharing"",""สิงห์บุรี!J416"")"),0)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IFERROR(__xludf.DUMMYFUNCTION("IMPORTRANGE(""https://docs.google.com/spreadsheets/d/1SX6NBoVAgQJ6U1MVXOaj8PK2l7WJ3RER9xtqwdhxkhw/edit?usp=sharing"",""สิงห์บุรี!I417"")"),0)</f>
        <v>0</v>
      </c>
      <c r="J522" s="188">
        <f ca="1">IFERROR(__xludf.DUMMYFUNCTION("IMPORTRANGE(""https://docs.google.com/spreadsheets/d/1SX6NBoVAgQJ6U1MVXOaj8PK2l7WJ3RER9xtqwdhxkhw/edit?usp=sharing"",""สิงห์บุรี!J417"")"),0)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IFERROR(__xludf.DUMMYFUNCTION("IMPORTRANGE(""https://docs.google.com/spreadsheets/d/1SX6NBoVAgQJ6U1MVXOaj8PK2l7WJ3RER9xtqwdhxkhw/edit?usp=sharing"",""สิงห์บุรี!I418"")"),0)</f>
        <v>0</v>
      </c>
      <c r="J523" s="188">
        <f ca="1">IFERROR(__xludf.DUMMYFUNCTION("IMPORTRANGE(""https://docs.google.com/spreadsheets/d/1SX6NBoVAgQJ6U1MVXOaj8PK2l7WJ3RER9xtqwdhxkhw/edit?usp=sharing"",""สิงห์บุรี!J418"")"),0)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IFERROR(__xludf.DUMMYFUNCTION("IMPORTRANGE(""https://docs.google.com/spreadsheets/d/1SX6NBoVAgQJ6U1MVXOaj8PK2l7WJ3RER9xtqwdhxkhw/edit?usp=sharing"",""สิงห์บุรี!I419"")"),0)</f>
        <v>0</v>
      </c>
      <c r="J524" s="188">
        <f ca="1">IFERROR(__xludf.DUMMYFUNCTION("IMPORTRANGE(""https://docs.google.com/spreadsheets/d/1SX6NBoVAgQJ6U1MVXOaj8PK2l7WJ3RER9xtqwdhxkhw/edit?usp=sharing"",""สิงห์บุรี!J419"")"),0)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IFERROR(__xludf.DUMMYFUNCTION("IMPORTRANGE(""https://docs.google.com/spreadsheets/d/1SX6NBoVAgQJ6U1MVXOaj8PK2l7WJ3RER9xtqwdhxkhw/edit?usp=sharing"",""สิงห์บุรี!I420"")"),0)</f>
        <v>0</v>
      </c>
      <c r="J525" s="284">
        <f ca="1">IFERROR(__xludf.DUMMYFUNCTION("IMPORTRANGE(""https://docs.google.com/spreadsheets/d/1SX6NBoVAgQJ6U1MVXOaj8PK2l7WJ3RER9xtqwdhxkhw/edit?usp=sharing"",""สิงห์บุรี!J420"")"),0)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IFERROR(__xludf.DUMMYFUNCTION("IMPORTRANGE(""https://docs.google.com/spreadsheets/d/1SX6NBoVAgQJ6U1MVXOaj8PK2l7WJ3RER9xtqwdhxkhw/edit?usp=sharing"",""สิงห์บุรี!I421"")"),0)</f>
        <v>0</v>
      </c>
      <c r="J526" s="284">
        <f ca="1">IFERROR(__xludf.DUMMYFUNCTION("IMPORTRANGE(""https://docs.google.com/spreadsheets/d/1SX6NBoVAgQJ6U1MVXOaj8PK2l7WJ3RER9xtqwdhxkhw/edit?usp=sharing"",""สิงห์บุรี!J421"")"),0)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IFERROR(__xludf.DUMMYFUNCTION("IMPORTRANGE(""https://docs.google.com/spreadsheets/d/1SX6NBoVAgQJ6U1MVXOaj8PK2l7WJ3RER9xtqwdhxkhw/edit?usp=sharing"",""สิงห์บุรี!I422"")"),0)</f>
        <v>0</v>
      </c>
      <c r="J527" s="198">
        <f ca="1">IFERROR(__xludf.DUMMYFUNCTION("IMPORTRANGE(""https://docs.google.com/spreadsheets/d/1SX6NBoVAgQJ6U1MVXOaj8PK2l7WJ3RER9xtqwdhxkhw/edit?usp=sharing"",""สิงห์บุรี!J422"")"),0)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IFERROR(__xludf.DUMMYFUNCTION("IMPORTRANGE(""https://docs.google.com/spreadsheets/d/1SX6NBoVAgQJ6U1MVXOaj8PK2l7WJ3RER9xtqwdhxkhw/edit?usp=sharing"",""สิงห์บุรี!I423"")"),0)</f>
        <v>0</v>
      </c>
      <c r="J528" s="198">
        <f ca="1">IFERROR(__xludf.DUMMYFUNCTION("IMPORTRANGE(""https://docs.google.com/spreadsheets/d/1SX6NBoVAgQJ6U1MVXOaj8PK2l7WJ3RER9xtqwdhxkhw/edit?usp=sharing"",""สิงห์บุรี!J423"")"),0)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IFERROR(__xludf.DUMMYFUNCTION("IMPORTRANGE(""https://docs.google.com/spreadsheets/d/1SX6NBoVAgQJ6U1MVXOaj8PK2l7WJ3RER9xtqwdhxkhw/edit?usp=sharing"",""สิงห์บุรี!I424"")"),0)</f>
        <v>0</v>
      </c>
      <c r="J529" s="198">
        <f ca="1">IFERROR(__xludf.DUMMYFUNCTION("IMPORTRANGE(""https://docs.google.com/spreadsheets/d/1SX6NBoVAgQJ6U1MVXOaj8PK2l7WJ3RER9xtqwdhxkhw/edit?usp=sharing"",""สิงห์บุรี!J424"")"),0)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IFERROR(__xludf.DUMMYFUNCTION("IMPORTRANGE(""https://docs.google.com/spreadsheets/d/1SX6NBoVAgQJ6U1MVXOaj8PK2l7WJ3RER9xtqwdhxkhw/edit?usp=sharing"",""สิงห์บุรี!I425"")"),0)</f>
        <v>0</v>
      </c>
      <c r="J530" s="198">
        <f ca="1">IFERROR(__xludf.DUMMYFUNCTION("IMPORTRANGE(""https://docs.google.com/spreadsheets/d/1SX6NBoVAgQJ6U1MVXOaj8PK2l7WJ3RER9xtqwdhxkhw/edit?usp=sharing"",""สิงห์บุรี!J425"")"),0)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IFERROR(__xludf.DUMMYFUNCTION("IMPORTRANGE(""https://docs.google.com/spreadsheets/d/1SX6NBoVAgQJ6U1MVXOaj8PK2l7WJ3RER9xtqwdhxkhw/edit?usp=sharing"",""สิงห์บุรี!I426"")"),0)</f>
        <v>0</v>
      </c>
      <c r="J531" s="198">
        <f ca="1">IFERROR(__xludf.DUMMYFUNCTION("IMPORTRANGE(""https://docs.google.com/spreadsheets/d/1SX6NBoVAgQJ6U1MVXOaj8PK2l7WJ3RER9xtqwdhxkhw/edit?usp=sharing"",""สิงห์บุรี!J426"")"),0)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IFERROR(__xludf.DUMMYFUNCTION("IMPORTRANGE(""https://docs.google.com/spreadsheets/d/1SX6NBoVAgQJ6U1MVXOaj8PK2l7WJ3RER9xtqwdhxkhw/edit?usp=sharing"",""สิงห์บุรี!I427"")"),0)</f>
        <v>0</v>
      </c>
      <c r="J532" s="466">
        <f ca="1">IFERROR(__xludf.DUMMYFUNCTION("IMPORTRANGE(""https://docs.google.com/spreadsheets/d/1SX6NBoVAgQJ6U1MVXOaj8PK2l7WJ3RER9xtqwdhxkhw/edit?usp=sharing"",""สิงห์บุรี!J427"")"),0)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IFERROR(__xludf.DUMMYFUNCTION("IMPORTRANGE(""https://docs.google.com/spreadsheets/d/1SX6NBoVAgQJ6U1MVXOaj8PK2l7WJ3RER9xtqwdhxkhw/edit?usp=sharing"",""สิงห์บุรี!I428"")"),10)</f>
        <v>10</v>
      </c>
      <c r="J533" s="410">
        <f ca="1">IFERROR(__xludf.DUMMYFUNCTION("IMPORTRANGE(""https://docs.google.com/spreadsheets/d/1SX6NBoVAgQJ6U1MVXOaj8PK2l7WJ3RER9xtqwdhxkhw/edit?usp=sharing"",""สิงห์บุรี!J428"")"),10)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IFERROR(__xludf.DUMMYFUNCTION("IMPORTRANGE(""https://docs.google.com/spreadsheets/d/1SX6NBoVAgQJ6U1MVXOaj8PK2l7WJ3RER9xtqwdhxkhw/edit?usp=sharing"",""สิงห์บุรี!L428"")"),24140)</f>
        <v>24140</v>
      </c>
      <c r="M533" s="412"/>
      <c r="N533" s="412">
        <f ca="1">IFERROR(__xludf.DUMMYFUNCTION("IMPORTRANGE(""https://docs.google.com/spreadsheets/d/1SX6NBoVAgQJ6U1MVXOaj8PK2l7WJ3RER9xtqwdhxkhw/edit?usp=sharing"",""สิงห์บุรี!M428"")"),23055)</f>
        <v>23055</v>
      </c>
      <c r="O533" s="412">
        <f t="shared" ref="O533:O537" ca="1" si="118">+IF(L533&gt;0,N533*100/L533,0)</f>
        <v>95.505385252692619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IFERROR(__xludf.DUMMYFUNCTION("IMPORTRANGE(""https://docs.google.com/spreadsheets/d/1SX6NBoVAgQJ6U1MVXOaj8PK2l7WJ3RER9xtqwdhxkhw/edit?usp=sharing"",""สิงห์บุรี!L429"")"),0)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IFERROR(__xludf.DUMMYFUNCTION("IMPORTRANGE(""https://docs.google.com/spreadsheets/d/1SX6NBoVAgQJ6U1MVXOaj8PK2l7WJ3RER9xtqwdhxkhw/edit?usp=sharing"",""สิงห์บุรี!M429"")"),0)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IFERROR(__xludf.DUMMYFUNCTION("IMPORTRANGE(""https://docs.google.com/spreadsheets/d/1SX6NBoVAgQJ6U1MVXOaj8PK2l7WJ3RER9xtqwdhxkhw/edit?usp=sharing"",""สิงห์บุรี!L430"")"),24140)</f>
        <v>24140</v>
      </c>
      <c r="M535" s="165"/>
      <c r="N535" s="169">
        <f ca="1">IFERROR(__xludf.DUMMYFUNCTION("IMPORTRANGE(""https://docs.google.com/spreadsheets/d/1SX6NBoVAgQJ6U1MVXOaj8PK2l7WJ3RER9xtqwdhxkhw/edit?usp=sharing"",""สิงห์บุรี!M430"")"),23055)</f>
        <v>23055</v>
      </c>
      <c r="O535" s="169">
        <f t="shared" ca="1" si="118"/>
        <v>95.505385252692619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IFERROR(__xludf.DUMMYFUNCTION("IMPORTRANGE(""https://docs.google.com/spreadsheets/d/1SX6NBoVAgQJ6U1MVXOaj8PK2l7WJ3RER9xtqwdhxkhw/edit?usp=sharing"",""สิงห์บุรี!L431"")"),0)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IFERROR(__xludf.DUMMYFUNCTION("IMPORTRANGE(""https://docs.google.com/spreadsheets/d/1SX6NBoVAgQJ6U1MVXOaj8PK2l7WJ3RER9xtqwdhxkhw/edit?usp=sharing"",""สิงห์บุรี!M431"")"),0)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IFERROR(__xludf.DUMMYFUNCTION("IMPORTRANGE(""https://docs.google.com/spreadsheets/d/1SX6NBoVAgQJ6U1MVXOaj8PK2l7WJ3RER9xtqwdhxkhw/edit?usp=sharing"",""สิงห์บุรี!L432"")"),24140)</f>
        <v>24140</v>
      </c>
      <c r="M537" s="169"/>
      <c r="N537" s="169">
        <f ca="1">IFERROR(__xludf.DUMMYFUNCTION("IMPORTRANGE(""https://docs.google.com/spreadsheets/d/1SX6NBoVAgQJ6U1MVXOaj8PK2l7WJ3RER9xtqwdhxkhw/edit?usp=sharing"",""สิงห์บุรี!M432"")"),23055)</f>
        <v>23055</v>
      </c>
      <c r="O537" s="169">
        <f t="shared" ca="1" si="118"/>
        <v>95.505385252692619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IFERROR(__xludf.DUMMYFUNCTION("IMPORTRANGE(""https://docs.google.com/spreadsheets/d/1SX6NBoVAgQJ6U1MVXOaj8PK2l7WJ3RER9xtqwdhxkhw/edit?usp=sharing"",""สิงห์บุรี!M433"")"),8540)</f>
        <v>8540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IFERROR(__xludf.DUMMYFUNCTION("IMPORTRANGE(""https://docs.google.com/spreadsheets/d/1SX6NBoVAgQJ6U1MVXOaj8PK2l7WJ3RER9xtqwdhxkhw/edit?usp=sharing"",""สิงห์บุรี!M434"")"),0)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IFERROR(__xludf.DUMMYFUNCTION("IMPORTRANGE(""https://docs.google.com/spreadsheets/d/1SX6NBoVAgQJ6U1MVXOaj8PK2l7WJ3RER9xtqwdhxkhw/edit?usp=sharing"",""สิงห์บุรี!M435"")"),0)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IFERROR(__xludf.DUMMYFUNCTION("IMPORTRANGE(""https://docs.google.com/spreadsheets/d/1SX6NBoVAgQJ6U1MVXOaj8PK2l7WJ3RER9xtqwdhxkhw/edit?usp=sharing"",""สิงห์บุรี!M436"")"),14515)</f>
        <v>14515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IFERROR(__xludf.DUMMYFUNCTION("IMPORTRANGE(""https://docs.google.com/spreadsheets/d/1SX6NBoVAgQJ6U1MVXOaj8PK2l7WJ3RER9xtqwdhxkhw/edit?usp=sharing"",""สิงห์บุรี!J438"")"),0)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IFERROR(__xludf.DUMMYFUNCTION("IMPORTRANGE(""https://docs.google.com/spreadsheets/d/1SX6NBoVAgQJ6U1MVXOaj8PK2l7WJ3RER9xtqwdhxkhw/edit?usp=sharing"",""สิงห์บุรี!J439"")"),1)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IFERROR(__xludf.DUMMYFUNCTION("IMPORTRANGE(""https://docs.google.com/spreadsheets/d/1SX6NBoVAgQJ6U1MVXOaj8PK2l7WJ3RER9xtqwdhxkhw/edit?usp=sharing"",""สิงห์บุรี!J440"")"),1)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IFERROR(__xludf.DUMMYFUNCTION("IMPORTRANGE(""https://docs.google.com/spreadsheets/d/1SX6NBoVAgQJ6U1MVXOaj8PK2l7WJ3RER9xtqwdhxkhw/edit?usp=sharing"",""สิงห์บุรี!J441"")"),1)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IFERROR(__xludf.DUMMYFUNCTION("IMPORTRANGE(""https://docs.google.com/spreadsheets/d/1SX6NBoVAgQJ6U1MVXOaj8PK2l7WJ3RER9xtqwdhxkhw/edit?usp=sharing"",""สิงห์บุรี!I442"")"),10)</f>
        <v>10</v>
      </c>
      <c r="J547" s="189">
        <f ca="1">IFERROR(__xludf.DUMMYFUNCTION("IMPORTRANGE(""https://docs.google.com/spreadsheets/d/1SX6NBoVAgQJ6U1MVXOaj8PK2l7WJ3RER9xtqwdhxkhw/edit?usp=sharing"",""สิงห์บุรี!J442"")"),10)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IFERROR(__xludf.DUMMYFUNCTION("IMPORTRANGE(""https://docs.google.com/spreadsheets/d/1SX6NBoVAgQJ6U1MVXOaj8PK2l7WJ3RER9xtqwdhxkhw/edit?usp=sharing"",""สิงห์บุรี!J166"")"),0)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IFERROR(__xludf.DUMMYFUNCTION("IMPORTRANGE(""https://docs.google.com/spreadsheets/d/1SX6NBoVAgQJ6U1MVXOaj8PK2l7WJ3RER9xtqwdhxkhw/edit?usp=sharing"",""สิงห์บุรี!J444"")"),0)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IFERROR(__xludf.DUMMYFUNCTION("IMPORTRANGE(""https://docs.google.com/spreadsheets/d/1SX6NBoVAgQJ6U1MVXOaj8PK2l7WJ3RER9xtqwdhxkhw/edit?usp=sharing"",""สิงห์บุรี!J445"")"),0)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IFERROR(__xludf.DUMMYFUNCTION("IMPORTRANGE(""https://docs.google.com/spreadsheets/d/1SX6NBoVAgQJ6U1MVXOaj8PK2l7WJ3RER9xtqwdhxkhw/edit?usp=sharing"",""สิงห์บุรี!I446"")"),0)</f>
        <v>0</v>
      </c>
      <c r="J551" s="410">
        <f ca="1">IFERROR(__xludf.DUMMYFUNCTION("IMPORTRANGE(""https://docs.google.com/spreadsheets/d/1SX6NBoVAgQJ6U1MVXOaj8PK2l7WJ3RER9xtqwdhxkhw/edit?usp=sharing"",""สิงห์บุรี!J446"")"),0)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IFERROR(__xludf.DUMMYFUNCTION("IMPORTRANGE(""https://docs.google.com/spreadsheets/d/1SX6NBoVAgQJ6U1MVXOaj8PK2l7WJ3RER9xtqwdhxkhw/edit?usp=sharing"",""สิงห์บุรี!L446"")"),0)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IFERROR(__xludf.DUMMYFUNCTION("IMPORTRANGE(""https://docs.google.com/spreadsheets/d/1SX6NBoVAgQJ6U1MVXOaj8PK2l7WJ3RER9xtqwdhxkhw/edit?usp=sharing"",""สิงห์บุรี!M446"")"),0)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IFERROR(__xludf.DUMMYFUNCTION("IMPORTRANGE(""https://docs.google.com/spreadsheets/d/1SX6NBoVAgQJ6U1MVXOaj8PK2l7WJ3RER9xtqwdhxkhw/edit?usp=sharing"",""สิงห์บุรี!L447"")"),0)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IFERROR(__xludf.DUMMYFUNCTION("IMPORTRANGE(""https://docs.google.com/spreadsheets/d/1SX6NBoVAgQJ6U1MVXOaj8PK2l7WJ3RER9xtqwdhxkhw/edit?usp=sharing"",""สิงห์บุรี!M447"")"),0)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IFERROR(__xludf.DUMMYFUNCTION("IMPORTRANGE(""https://docs.google.com/spreadsheets/d/1SX6NBoVAgQJ6U1MVXOaj8PK2l7WJ3RER9xtqwdhxkhw/edit?usp=sharing"",""สิงห์บุรี!L448"")"),0)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IFERROR(__xludf.DUMMYFUNCTION("IMPORTRANGE(""https://docs.google.com/spreadsheets/d/1SX6NBoVAgQJ6U1MVXOaj8PK2l7WJ3RER9xtqwdhxkhw/edit?usp=sharing"",""สิงห์บุรี!M448"")"),0)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IFERROR(__xludf.DUMMYFUNCTION("IMPORTRANGE(""https://docs.google.com/spreadsheets/d/1SX6NBoVAgQJ6U1MVXOaj8PK2l7WJ3RER9xtqwdhxkhw/edit?usp=sharing"",""สิงห์บุรี!L449"")"),0)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IFERROR(__xludf.DUMMYFUNCTION("IMPORTRANGE(""https://docs.google.com/spreadsheets/d/1SX6NBoVAgQJ6U1MVXOaj8PK2l7WJ3RER9xtqwdhxkhw/edit?usp=sharing"",""สิงห์บุรี!M449"")"),0)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IFERROR(__xludf.DUMMYFUNCTION("IMPORTRANGE(""https://docs.google.com/spreadsheets/d/1SX6NBoVAgQJ6U1MVXOaj8PK2l7WJ3RER9xtqwdhxkhw/edit?usp=sharing"",""สิงห์บุรี!L450"")"),0)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IFERROR(__xludf.DUMMYFUNCTION("IMPORTRANGE(""https://docs.google.com/spreadsheets/d/1SX6NBoVAgQJ6U1MVXOaj8PK2l7WJ3RER9xtqwdhxkhw/edit?usp=sharing"",""สิงห์บุรี!M450"")"),0)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IFERROR(__xludf.DUMMYFUNCTION("IMPORTRANGE(""https://docs.google.com/spreadsheets/d/1SX6NBoVAgQJ6U1MVXOaj8PK2l7WJ3RER9xtqwdhxkhw/edit?usp=sharing"",""สิงห์บุรี!M451"")"),0)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IFERROR(__xludf.DUMMYFUNCTION("IMPORTRANGE(""https://docs.google.com/spreadsheets/d/1SX6NBoVAgQJ6U1MVXOaj8PK2l7WJ3RER9xtqwdhxkhw/edit?usp=sharing"",""สิงห์บุรี!M452"")"),0)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IFERROR(__xludf.DUMMYFUNCTION("IMPORTRANGE(""https://docs.google.com/spreadsheets/d/1SX6NBoVAgQJ6U1MVXOaj8PK2l7WJ3RER9xtqwdhxkhw/edit?usp=sharing"",""สิงห์บุรี!M453"")"),0)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IFERROR(__xludf.DUMMYFUNCTION("IMPORTRANGE(""https://docs.google.com/spreadsheets/d/1SX6NBoVAgQJ6U1MVXOaj8PK2l7WJ3RER9xtqwdhxkhw/edit?usp=sharing"",""สิงห์บุรี!M454"")"),0)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IFERROR(__xludf.DUMMYFUNCTION("IMPORTRANGE(""https://docs.google.com/spreadsheets/d/1SX6NBoVAgQJ6U1MVXOaj8PK2l7WJ3RER9xtqwdhxkhw/edit?usp=sharing"",""สิงห์บุรี!I455"")"),0)</f>
        <v>0</v>
      </c>
      <c r="J560" s="162">
        <f ca="1">IFERROR(__xludf.DUMMYFUNCTION("IMPORTRANGE(""https://docs.google.com/spreadsheets/d/1SX6NBoVAgQJ6U1MVXOaj8PK2l7WJ3RER9xtqwdhxkhw/edit?usp=sharing"",""สิงห์บุรี!J455"")"),0)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IFERROR(__xludf.DUMMYFUNCTION("IMPORTRANGE(""https://docs.google.com/spreadsheets/d/1SX6NBoVAgQJ6U1MVXOaj8PK2l7WJ3RER9xtqwdhxkhw/edit?usp=sharing"",""สิงห์บุรี!I456"")"),0)</f>
        <v>0</v>
      </c>
      <c r="J561" s="204">
        <f ca="1">IFERROR(__xludf.DUMMYFUNCTION("IMPORTRANGE(""https://docs.google.com/spreadsheets/d/1SX6NBoVAgQJ6U1MVXOaj8PK2l7WJ3RER9xtqwdhxkhw/edit?usp=sharing"",""สิงห์บุรี!J456"")"),0)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IFERROR(__xludf.DUMMYFUNCTION("IMPORTRANGE(""https://docs.google.com/spreadsheets/d/1SX6NBoVAgQJ6U1MVXOaj8PK2l7WJ3RER9xtqwdhxkhw/edit?usp=sharing"",""สิงห์บุรี!I459"")"),20)</f>
        <v>20</v>
      </c>
      <c r="J564" s="371">
        <f ca="1">IFERROR(__xludf.DUMMYFUNCTION("IMPORTRANGE(""https://docs.google.com/spreadsheets/d/1SX6NBoVAgQJ6U1MVXOaj8PK2l7WJ3RER9xtqwdhxkhw/edit?usp=sharing"",""สิงห์บุรี!J459"")"),25)</f>
        <v>25</v>
      </c>
      <c r="K564" s="372">
        <f ca="1">IF(I564&gt;0,J564*100/I564,0)</f>
        <v>125</v>
      </c>
      <c r="L564" s="373">
        <f ca="1">IFERROR(__xludf.DUMMYFUNCTION("IMPORTRANGE(""https://docs.google.com/spreadsheets/d/1SX6NBoVAgQJ6U1MVXOaj8PK2l7WJ3RER9xtqwdhxkhw/edit?usp=sharing"",""สิงห์บุรี!L459"")"),117840)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IFERROR(__xludf.DUMMYFUNCTION("IMPORTRANGE(""https://docs.google.com/spreadsheets/d/1SX6NBoVAgQJ6U1MVXOaj8PK2l7WJ3RER9xtqwdhxkhw/edit?usp=sharing"",""สิงห์บุรี!M459"")"),54856.66)</f>
        <v>54856.66</v>
      </c>
      <c r="O564" s="373">
        <f t="shared" ref="O564:O568" ca="1" si="122">+IF(L564&gt;0,N564*100/L564,0)</f>
        <v>46.55181602172437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IFERROR(__xludf.DUMMYFUNCTION("IMPORTRANGE(""https://docs.google.com/spreadsheets/d/1SX6NBoVAgQJ6U1MVXOaj8PK2l7WJ3RER9xtqwdhxkhw/edit?usp=sharing"",""สิงห์บุรี!L460"")"),0)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IFERROR(__xludf.DUMMYFUNCTION("IMPORTRANGE(""https://docs.google.com/spreadsheets/d/1SX6NBoVAgQJ6U1MVXOaj8PK2l7WJ3RER9xtqwdhxkhw/edit?usp=sharing"",""สิงห์บุรี!M460"")"),0)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IFERROR(__xludf.DUMMYFUNCTION("IMPORTRANGE(""https://docs.google.com/spreadsheets/d/1SX6NBoVAgQJ6U1MVXOaj8PK2l7WJ3RER9xtqwdhxkhw/edit?usp=sharing"",""สิงห์บุรี!L461"")"),117840)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IFERROR(__xludf.DUMMYFUNCTION("IMPORTRANGE(""https://docs.google.com/spreadsheets/d/1SX6NBoVAgQJ6U1MVXOaj8PK2l7WJ3RER9xtqwdhxkhw/edit?usp=sharing"",""สิงห์บุรี!M461"")"),54856.66)</f>
        <v>54856.66</v>
      </c>
      <c r="O566" s="169">
        <f t="shared" ca="1" si="122"/>
        <v>46.55181602172437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IFERROR(__xludf.DUMMYFUNCTION("IMPORTRANGE(""https://docs.google.com/spreadsheets/d/1SX6NBoVAgQJ6U1MVXOaj8PK2l7WJ3RER9xtqwdhxkhw/edit?usp=sharing"",""สิงห์บุรี!L462"")"),0)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IFERROR(__xludf.DUMMYFUNCTION("IMPORTRANGE(""https://docs.google.com/spreadsheets/d/1SX6NBoVAgQJ6U1MVXOaj8PK2l7WJ3RER9xtqwdhxkhw/edit?usp=sharing"",""สิงห์บุรี!M462"")"),0)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IFERROR(__xludf.DUMMYFUNCTION("IMPORTRANGE(""https://docs.google.com/spreadsheets/d/1SX6NBoVAgQJ6U1MVXOaj8PK2l7WJ3RER9xtqwdhxkhw/edit?usp=sharing"",""สิงห์บุรี!L463"")"),117840)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IFERROR(__xludf.DUMMYFUNCTION("IMPORTRANGE(""https://docs.google.com/spreadsheets/d/1SX6NBoVAgQJ6U1MVXOaj8PK2l7WJ3RER9xtqwdhxkhw/edit?usp=sharing"",""สิงห์บุรี!M463"")"),54856.66)</f>
        <v>54856.66</v>
      </c>
      <c r="O568" s="169">
        <f t="shared" ca="1" si="122"/>
        <v>46.55181602172437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IFERROR(__xludf.DUMMYFUNCTION("IMPORTRANGE(""https://docs.google.com/spreadsheets/d/1SX6NBoVAgQJ6U1MVXOaj8PK2l7WJ3RER9xtqwdhxkhw/edit?usp=sharing"",""สิงห์บุรี!M464"")"),0)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IFERROR(__xludf.DUMMYFUNCTION("IMPORTRANGE(""https://docs.google.com/spreadsheets/d/1SX6NBoVAgQJ6U1MVXOaj8PK2l7WJ3RER9xtqwdhxkhw/edit?usp=sharing"",""สิงห์บุรี!M465"")"),0)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IFERROR(__xludf.DUMMYFUNCTION("IMPORTRANGE(""https://docs.google.com/spreadsheets/d/1SX6NBoVAgQJ6U1MVXOaj8PK2l7WJ3RER9xtqwdhxkhw/edit?usp=sharing"",""สิงห์บุรี!M466"")"),54266.66)</f>
        <v>54266.66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IFERROR(__xludf.DUMMYFUNCTION("IMPORTRANGE(""https://docs.google.com/spreadsheets/d/1SX6NBoVAgQJ6U1MVXOaj8PK2l7WJ3RER9xtqwdhxkhw/edit?usp=sharing"",""สิงห์บุรี!M467"")"),590)</f>
        <v>590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IFERROR(__xludf.DUMMYFUNCTION("IMPORTRANGE(""https://docs.google.com/spreadsheets/d/1SX6NBoVAgQJ6U1MVXOaj8PK2l7WJ3RER9xtqwdhxkhw/edit?usp=sharing"",""สิงห์บุรี!I468"")"),20)</f>
        <v>20</v>
      </c>
      <c r="J573" s="420">
        <f ca="1">IFERROR(__xludf.DUMMYFUNCTION("IMPORTRANGE(""https://docs.google.com/spreadsheets/d/1SX6NBoVAgQJ6U1MVXOaj8PK2l7WJ3RER9xtqwdhxkhw/edit?usp=sharing"",""สิงห์บุรี!J468"")"),25)</f>
        <v>25</v>
      </c>
      <c r="K573" s="202">
        <f ca="1">IF(I573&gt;0,J573*100/I573,0)</f>
        <v>125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IFERROR(__xludf.DUMMYFUNCTION("IMPORTRANGE(""https://docs.google.com/spreadsheets/d/1SX6NBoVAgQJ6U1MVXOaj8PK2l7WJ3RER9xtqwdhxkhw/edit?usp=sharing"",""สิงห์บุรี!I470"")"),0)</f>
        <v>0</v>
      </c>
      <c r="J575" s="198">
        <f ca="1">IFERROR(__xludf.DUMMYFUNCTION("IMPORTRANGE(""https://docs.google.com/spreadsheets/d/1SX6NBoVAgQJ6U1MVXOaj8PK2l7WJ3RER9xtqwdhxkhw/edit?usp=sharing"",""สิงห์บุรี!J470"")"),1)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IFERROR(__xludf.DUMMYFUNCTION("IMPORTRANGE(""https://docs.google.com/spreadsheets/d/1SX6NBoVAgQJ6U1MVXOaj8PK2l7WJ3RER9xtqwdhxkhw/edit?usp=sharing"",""สิงห์บุรี!I471"")"),0)</f>
        <v>0</v>
      </c>
      <c r="J576" s="198">
        <f ca="1">IFERROR(__xludf.DUMMYFUNCTION("IMPORTRANGE(""https://docs.google.com/spreadsheets/d/1SX6NBoVAgQJ6U1MVXOaj8PK2l7WJ3RER9xtqwdhxkhw/edit?usp=sharing"",""สิงห์บุรี!J471"")"),9)</f>
        <v>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IFERROR(__xludf.DUMMYFUNCTION("IMPORTRANGE(""https://docs.google.com/spreadsheets/d/1SX6NBoVAgQJ6U1MVXOaj8PK2l7WJ3RER9xtqwdhxkhw/edit?usp=sharing"",""สิงห์บุรี!I472"")"),0)</f>
        <v>0</v>
      </c>
      <c r="J577" s="189">
        <f ca="1">IFERROR(__xludf.DUMMYFUNCTION("IMPORTRANGE(""https://docs.google.com/spreadsheets/d/1SX6NBoVAgQJ6U1MVXOaj8PK2l7WJ3RER9xtqwdhxkhw/edit?usp=sharing"",""สิงห์บุรี!J472"")"),16)</f>
        <v>16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IFERROR(__xludf.DUMMYFUNCTION("IMPORTRANGE(""https://docs.google.com/spreadsheets/d/1SX6NBoVAgQJ6U1MVXOaj8PK2l7WJ3RER9xtqwdhxkhw/edit?usp=sharing"",""สิงห์บุรี!I473"")"),0)</f>
        <v>0</v>
      </c>
      <c r="J578" s="198">
        <f ca="1">IFERROR(__xludf.DUMMYFUNCTION("IMPORTRANGE(""https://docs.google.com/spreadsheets/d/1SX6NBoVAgQJ6U1MVXOaj8PK2l7WJ3RER9xtqwdhxkhw/edit?usp=sharing"",""สิงห์บุรี!J473"")"),0)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IFERROR(__xludf.DUMMYFUNCTION("IMPORTRANGE(""https://docs.google.com/spreadsheets/d/1SX6NBoVAgQJ6U1MVXOaj8PK2l7WJ3RER9xtqwdhxkhw/edit?usp=sharing"",""สิงห์บุรี!I474"")"),0)</f>
        <v>0</v>
      </c>
      <c r="J579" s="198">
        <f ca="1">IFERROR(__xludf.DUMMYFUNCTION("IMPORTRANGE(""https://docs.google.com/spreadsheets/d/1SX6NBoVAgQJ6U1MVXOaj8PK2l7WJ3RER9xtqwdhxkhw/edit?usp=sharing"",""สิงห์บุรี!J474"")"),0)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IFERROR(__xludf.DUMMYFUNCTION("IMPORTRANGE(""https://docs.google.com/spreadsheets/d/1SX6NBoVAgQJ6U1MVXOaj8PK2l7WJ3RER9xtqwdhxkhw/edit?usp=sharing"",""สิงห์บุรี!I475"")"),0)</f>
        <v>0</v>
      </c>
      <c r="J580" s="371">
        <f ca="1">IFERROR(__xludf.DUMMYFUNCTION("IMPORTRANGE(""https://docs.google.com/spreadsheets/d/1SX6NBoVAgQJ6U1MVXOaj8PK2l7WJ3RER9xtqwdhxkhw/edit?usp=sharing"",""สิงห์บุรี!J475"")"),0)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IFERROR(__xludf.DUMMYFUNCTION("IMPORTRANGE(""https://docs.google.com/spreadsheets/d/1SX6NBoVAgQJ6U1MVXOaj8PK2l7WJ3RER9xtqwdhxkhw/edit?usp=sharing"",""สิงห์บุรี!L475"")"),0)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IFERROR(__xludf.DUMMYFUNCTION("IMPORTRANGE(""https://docs.google.com/spreadsheets/d/1SX6NBoVAgQJ6U1MVXOaj8PK2l7WJ3RER9xtqwdhxkhw/edit?usp=sharing"",""สิงห์บุรี!M475"")"),0)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IFERROR(__xludf.DUMMYFUNCTION("IMPORTRANGE(""https://docs.google.com/spreadsheets/d/1SX6NBoVAgQJ6U1MVXOaj8PK2l7WJ3RER9xtqwdhxkhw/edit?usp=sharing"",""สิงห์บุรี!L476"")"),0)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IFERROR(__xludf.DUMMYFUNCTION("IMPORTRANGE(""https://docs.google.com/spreadsheets/d/1SX6NBoVAgQJ6U1MVXOaj8PK2l7WJ3RER9xtqwdhxkhw/edit?usp=sharing"",""สิงห์บุรี!M476"")"),0)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IFERROR(__xludf.DUMMYFUNCTION("IMPORTRANGE(""https://docs.google.com/spreadsheets/d/1SX6NBoVAgQJ6U1MVXOaj8PK2l7WJ3RER9xtqwdhxkhw/edit?usp=sharing"",""สิงห์บุรี!L477"")"),0)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IFERROR(__xludf.DUMMYFUNCTION("IMPORTRANGE(""https://docs.google.com/spreadsheets/d/1SX6NBoVAgQJ6U1MVXOaj8PK2l7WJ3RER9xtqwdhxkhw/edit?usp=sharing"",""สิงห์บุรี!M477"")"),0)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IFERROR(__xludf.DUMMYFUNCTION("IMPORTRANGE(""https://docs.google.com/spreadsheets/d/1SX6NBoVAgQJ6U1MVXOaj8PK2l7WJ3RER9xtqwdhxkhw/edit?usp=sharing"",""สิงห์บุรี!L478"")"),0)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IFERROR(__xludf.DUMMYFUNCTION("IMPORTRANGE(""https://docs.google.com/spreadsheets/d/1SX6NBoVAgQJ6U1MVXOaj8PK2l7WJ3RER9xtqwdhxkhw/edit?usp=sharing"",""สิงห์บุรี!M478"")"),0)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IFERROR(__xludf.DUMMYFUNCTION("IMPORTRANGE(""https://docs.google.com/spreadsheets/d/1SX6NBoVAgQJ6U1MVXOaj8PK2l7WJ3RER9xtqwdhxkhw/edit?usp=sharing"",""สิงห์บุรี!L479"")"),0)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IFERROR(__xludf.DUMMYFUNCTION("IMPORTRANGE(""https://docs.google.com/spreadsheets/d/1SX6NBoVAgQJ6U1MVXOaj8PK2l7WJ3RER9xtqwdhxkhw/edit?usp=sharing"",""สิงห์บุรี!M479"")"),0)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IFERROR(__xludf.DUMMYFUNCTION("IMPORTRANGE(""https://docs.google.com/spreadsheets/d/1SX6NBoVAgQJ6U1MVXOaj8PK2l7WJ3RER9xtqwdhxkhw/edit?usp=sharing"",""สิงห์บุรี!M480"")"),0)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IFERROR(__xludf.DUMMYFUNCTION("IMPORTRANGE(""https://docs.google.com/spreadsheets/d/1SX6NBoVAgQJ6U1MVXOaj8PK2l7WJ3RER9xtqwdhxkhw/edit?usp=sharing"",""สิงห์บุรี!M481"")"),0)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IFERROR(__xludf.DUMMYFUNCTION("IMPORTRANGE(""https://docs.google.com/spreadsheets/d/1SX6NBoVAgQJ6U1MVXOaj8PK2l7WJ3RER9xtqwdhxkhw/edit?usp=sharing"",""สิงห์บุรี!M482"")"),0)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IFERROR(__xludf.DUMMYFUNCTION("IMPORTRANGE(""https://docs.google.com/spreadsheets/d/1SX6NBoVAgQJ6U1MVXOaj8PK2l7WJ3RER9xtqwdhxkhw/edit?usp=sharing"",""สิงห์บุรี!M483"")"),0)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IFERROR(__xludf.DUMMYFUNCTION("IMPORTRANGE(""https://docs.google.com/spreadsheets/d/1SX6NBoVAgQJ6U1MVXOaj8PK2l7WJ3RER9xtqwdhxkhw/edit?usp=sharing"",""สิงห์บุรี!I484"")"),0)</f>
        <v>0</v>
      </c>
      <c r="J589" s="188">
        <f ca="1">IFERROR(__xludf.DUMMYFUNCTION("IMPORTRANGE(""https://docs.google.com/spreadsheets/d/1SX6NBoVAgQJ6U1MVXOaj8PK2l7WJ3RER9xtqwdhxkhw/edit?usp=sharing"",""สิงห์บุรี!J484"")"),0)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IFERROR(__xludf.DUMMYFUNCTION("IMPORTRANGE(""https://docs.google.com/spreadsheets/d/1SX6NBoVAgQJ6U1MVXOaj8PK2l7WJ3RER9xtqwdhxkhw/edit?usp=sharing"",""สิงห์บุรี!I485"")"),0)</f>
        <v>0</v>
      </c>
      <c r="J590" s="188">
        <f ca="1">IFERROR(__xludf.DUMMYFUNCTION("IMPORTRANGE(""https://docs.google.com/spreadsheets/d/1SX6NBoVAgQJ6U1MVXOaj8PK2l7WJ3RER9xtqwdhxkhw/edit?usp=sharing"",""สิงห์บุรี!J485"")"),0)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IFERROR(__xludf.DUMMYFUNCTION("IMPORTRANGE(""https://docs.google.com/spreadsheets/d/1SX6NBoVAgQJ6U1MVXOaj8PK2l7WJ3RER9xtqwdhxkhw/edit?usp=sharing"",""สิงห์บุรี!I486"")"),0)</f>
        <v>0</v>
      </c>
      <c r="J591" s="188">
        <f ca="1">IFERROR(__xludf.DUMMYFUNCTION("IMPORTRANGE(""https://docs.google.com/spreadsheets/d/1SX6NBoVAgQJ6U1MVXOaj8PK2l7WJ3RER9xtqwdhxkhw/edit?usp=sharing"",""สิงห์บุรี!J486"")"),0)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IFERROR(__xludf.DUMMYFUNCTION("IMPORTRANGE(""https://docs.google.com/spreadsheets/d/1SX6NBoVAgQJ6U1MVXOaj8PK2l7WJ3RER9xtqwdhxkhw/edit?usp=sharing"",""สิงห์บุรี!I487"")"),0)</f>
        <v>0</v>
      </c>
      <c r="J592" s="188">
        <f ca="1">IFERROR(__xludf.DUMMYFUNCTION("IMPORTRANGE(""https://docs.google.com/spreadsheets/d/1SX6NBoVAgQJ6U1MVXOaj8PK2l7WJ3RER9xtqwdhxkhw/edit?usp=sharing"",""สิงห์บุรี!J487"")"),0)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IFERROR(__xludf.DUMMYFUNCTION("IMPORTRANGE(""https://docs.google.com/spreadsheets/d/1SX6NBoVAgQJ6U1MVXOaj8PK2l7WJ3RER9xtqwdhxkhw/edit?usp=sharing"",""สิงห์บุรี!I488"")"),0)</f>
        <v>0</v>
      </c>
      <c r="J593" s="188">
        <f ca="1">IFERROR(__xludf.DUMMYFUNCTION("IMPORTRANGE(""https://docs.google.com/spreadsheets/d/1SX6NBoVAgQJ6U1MVXOaj8PK2l7WJ3RER9xtqwdhxkhw/edit?usp=sharing"",""สิงห์บุรี!J488"")"),0)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IFERROR(__xludf.DUMMYFUNCTION("IMPORTRANGE(""https://docs.google.com/spreadsheets/d/1SX6NBoVAgQJ6U1MVXOaj8PK2l7WJ3RER9xtqwdhxkhw/edit?usp=sharing"",""สิงห์บุรี!I489"")"),0)</f>
        <v>0</v>
      </c>
      <c r="J594" s="188">
        <f ca="1">IFERROR(__xludf.DUMMYFUNCTION("IMPORTRANGE(""https://docs.google.com/spreadsheets/d/1SX6NBoVAgQJ6U1MVXOaj8PK2l7WJ3RER9xtqwdhxkhw/edit?usp=sharing"",""สิงห์บุรี!J489"")"),0)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IFERROR(__xludf.DUMMYFUNCTION("IMPORTRANGE(""https://docs.google.com/spreadsheets/d/1SX6NBoVAgQJ6U1MVXOaj8PK2l7WJ3RER9xtqwdhxkhw/edit?usp=sharing"",""สิงห์บุรี!I490"")"),0)</f>
        <v>0</v>
      </c>
      <c r="J595" s="188">
        <f ca="1">IFERROR(__xludf.DUMMYFUNCTION("IMPORTRANGE(""https://docs.google.com/spreadsheets/d/1SX6NBoVAgQJ6U1MVXOaj8PK2l7WJ3RER9xtqwdhxkhw/edit?usp=sharing"",""สิงห์บุรี!J490"")"),0)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IFERROR(__xludf.DUMMYFUNCTION("IMPORTRANGE(""https://docs.google.com/spreadsheets/d/1SX6NBoVAgQJ6U1MVXOaj8PK2l7WJ3RER9xtqwdhxkhw/edit?usp=sharing"",""สิงห์บุรี!I491"")"),0)</f>
        <v>0</v>
      </c>
      <c r="J596" s="241">
        <f ca="1">IFERROR(__xludf.DUMMYFUNCTION("IMPORTRANGE(""https://docs.google.com/spreadsheets/d/1SX6NBoVAgQJ6U1MVXOaj8PK2l7WJ3RER9xtqwdhxkhw/edit?usp=sharing"",""สิงห์บุรี!J491"")"),0)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IFERROR(__xludf.DUMMYFUNCTION("IMPORTRANGE(""https://docs.google.com/spreadsheets/d/1SX6NBoVAgQJ6U1MVXOaj8PK2l7WJ3RER9xtqwdhxkhw/edit?usp=sharing"",""สิงห์บุรี!I492"")"),100)</f>
        <v>100</v>
      </c>
      <c r="J597" s="487">
        <f ca="1">IFERROR(__xludf.DUMMYFUNCTION("IMPORTRANGE(""https://docs.google.com/spreadsheets/d/1SX6NBoVAgQJ6U1MVXOaj8PK2l7WJ3RER9xtqwdhxkhw/edit?usp=sharing"",""สิงห์บุรี!J492"")"),0)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IFERROR(__xludf.DUMMYFUNCTION("IMPORTRANGE(""https://docs.google.com/spreadsheets/d/1SX6NBoVAgQJ6U1MVXOaj8PK2l7WJ3RER9xtqwdhxkhw/edit?usp=sharing"",""สิงห์บุรี!L492"")"),7300)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IFERROR(__xludf.DUMMYFUNCTION("IMPORTRANGE(""https://docs.google.com/spreadsheets/d/1SX6NBoVAgQJ6U1MVXOaj8PK2l7WJ3RER9xtqwdhxkhw/edit?usp=sharing"",""สิงห์บุรี!M492"")"),4300)</f>
        <v>4300</v>
      </c>
      <c r="O597" s="412">
        <f t="shared" ref="O597:O601" ca="1" si="126">+IF(L597&gt;0,N597*100/L597,0)</f>
        <v>58.904109589041099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IFERROR(__xludf.DUMMYFUNCTION("IMPORTRANGE(""https://docs.google.com/spreadsheets/d/1SX6NBoVAgQJ6U1MVXOaj8PK2l7WJ3RER9xtqwdhxkhw/edit?usp=sharing"",""สิงห์บุรี!L493"")"),0)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IFERROR(__xludf.DUMMYFUNCTION("IMPORTRANGE(""https://docs.google.com/spreadsheets/d/1SX6NBoVAgQJ6U1MVXOaj8PK2l7WJ3RER9xtqwdhxkhw/edit?usp=sharing"",""สิงห์บุรี!M493"")"),0)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IFERROR(__xludf.DUMMYFUNCTION("IMPORTRANGE(""https://docs.google.com/spreadsheets/d/1SX6NBoVAgQJ6U1MVXOaj8PK2l7WJ3RER9xtqwdhxkhw/edit?usp=sharing"",""สิงห์บุรี!L494"")"),7300)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IFERROR(__xludf.DUMMYFUNCTION("IMPORTRANGE(""https://docs.google.com/spreadsheets/d/1SX6NBoVAgQJ6U1MVXOaj8PK2l7WJ3RER9xtqwdhxkhw/edit?usp=sharing"",""สิงห์บุรี!M494"")"),4300)</f>
        <v>4300</v>
      </c>
      <c r="O599" s="169">
        <f t="shared" ca="1" si="126"/>
        <v>58.904109589041099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IFERROR(__xludf.DUMMYFUNCTION("IMPORTRANGE(""https://docs.google.com/spreadsheets/d/1SX6NBoVAgQJ6U1MVXOaj8PK2l7WJ3RER9xtqwdhxkhw/edit?usp=sharing"",""สิงห์บุรี!L495"")"),0)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IFERROR(__xludf.DUMMYFUNCTION("IMPORTRANGE(""https://docs.google.com/spreadsheets/d/1SX6NBoVAgQJ6U1MVXOaj8PK2l7WJ3RER9xtqwdhxkhw/edit?usp=sharing"",""สิงห์บุรี!M495"")"),0)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IFERROR(__xludf.DUMMYFUNCTION("IMPORTRANGE(""https://docs.google.com/spreadsheets/d/1SX6NBoVAgQJ6U1MVXOaj8PK2l7WJ3RER9xtqwdhxkhw/edit?usp=sharing"",""สิงห์บุรี!L496"")"),7300)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IFERROR(__xludf.DUMMYFUNCTION("IMPORTRANGE(""https://docs.google.com/spreadsheets/d/1SX6NBoVAgQJ6U1MVXOaj8PK2l7WJ3RER9xtqwdhxkhw/edit?usp=sharing"",""สิงห์บุรี!M496"")"),4300)</f>
        <v>4300</v>
      </c>
      <c r="O601" s="169">
        <f t="shared" ca="1" si="126"/>
        <v>58.904109589041099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IFERROR(__xludf.DUMMYFUNCTION("IMPORTRANGE(""https://docs.google.com/spreadsheets/d/1SX6NBoVAgQJ6U1MVXOaj8PK2l7WJ3RER9xtqwdhxkhw/edit?usp=sharing"",""สิงห์บุรี!M497"")"),0)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IFERROR(__xludf.DUMMYFUNCTION("IMPORTRANGE(""https://docs.google.com/spreadsheets/d/1SX6NBoVAgQJ6U1MVXOaj8PK2l7WJ3RER9xtqwdhxkhw/edit?usp=sharing"",""สิงห์บุรี!M498"")"),0)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IFERROR(__xludf.DUMMYFUNCTION("IMPORTRANGE(""https://docs.google.com/spreadsheets/d/1SX6NBoVAgQJ6U1MVXOaj8PK2l7WJ3RER9xtqwdhxkhw/edit?usp=sharing"",""สิงห์บุรี!M499"")"),0)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IFERROR(__xludf.DUMMYFUNCTION("IMPORTRANGE(""https://docs.google.com/spreadsheets/d/1SX6NBoVAgQJ6U1MVXOaj8PK2l7WJ3RER9xtqwdhxkhw/edit?usp=sharing"",""สิงห์บุรี!M500"")"),4300)</f>
        <v>4300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IFERROR(__xludf.DUMMYFUNCTION("IMPORTRANGE(""https://docs.google.com/spreadsheets/d/1SX6NBoVAgQJ6U1MVXOaj8PK2l7WJ3RER9xtqwdhxkhw/edit?usp=sharing"",""สิงห์บุรี!J502"")"),0)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IFERROR(__xludf.DUMMYFUNCTION("IMPORTRANGE(""https://docs.google.com/spreadsheets/d/1SX6NBoVAgQJ6U1MVXOaj8PK2l7WJ3RER9xtqwdhxkhw/edit?usp=sharing"",""สิงห์บุรี!J503"")"),1)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IFERROR(__xludf.DUMMYFUNCTION("IMPORTRANGE(""https://docs.google.com/spreadsheets/d/1SX6NBoVAgQJ6U1MVXOaj8PK2l7WJ3RER9xtqwdhxkhw/edit?usp=sharing"",""สิงห์บุรี!J166"")"),0)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IFERROR(__xludf.DUMMYFUNCTION("IMPORTRANGE(""https://docs.google.com/spreadsheets/d/1SX6NBoVAgQJ6U1MVXOaj8PK2l7WJ3RER9xtqwdhxkhw/edit?usp=sharing"",""สิงห์บุรี!J166"")"),0)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IFERROR(__xludf.DUMMYFUNCTION("IMPORTRANGE(""https://docs.google.com/spreadsheets/d/1SX6NBoVAgQJ6U1MVXOaj8PK2l7WJ3RER9xtqwdhxkhw/edit?usp=sharing"",""สิงห์บุรี!I506"")"),100)</f>
        <v>100</v>
      </c>
      <c r="J611" s="162">
        <f ca="1">IFERROR(__xludf.DUMMYFUNCTION("IMPORTRANGE(""https://docs.google.com/spreadsheets/d/1SX6NBoVAgQJ6U1MVXOaj8PK2l7WJ3RER9xtqwdhxkhw/edit?usp=sharing"",""สิงห์บุรี!J506"")"),0)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IFERROR(__xludf.DUMMYFUNCTION("IMPORTRANGE(""https://docs.google.com/spreadsheets/d/1SX6NBoVAgQJ6U1MVXOaj8PK2l7WJ3RER9xtqwdhxkhw/edit?usp=sharing"",""สิงห์บุรี!I507"")"),0)</f>
        <v>0</v>
      </c>
      <c r="J612" s="198">
        <f ca="1">IFERROR(__xludf.DUMMYFUNCTION("IMPORTRANGE(""https://docs.google.com/spreadsheets/d/1SX6NBoVAgQJ6U1MVXOaj8PK2l7WJ3RER9xtqwdhxkhw/edit?usp=sharing"",""สิงห์บุรี!J507"")"),200)</f>
        <v>200</v>
      </c>
      <c r="K612" s="163">
        <f t="shared" ca="1" si="127"/>
        <v>200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IFERROR(__xludf.DUMMYFUNCTION("IMPORTRANGE(""https://docs.google.com/spreadsheets/d/1SX6NBoVAgQJ6U1MVXOaj8PK2l7WJ3RER9xtqwdhxkhw/edit?usp=sharing"",""สิงห์บุรี!I508"")"),0)</f>
        <v>0</v>
      </c>
      <c r="J613" s="198">
        <f ca="1">IFERROR(__xludf.DUMMYFUNCTION("IMPORTRANGE(""https://docs.google.com/spreadsheets/d/1SX6NBoVAgQJ6U1MVXOaj8PK2l7WJ3RER9xtqwdhxkhw/edit?usp=sharing"",""สิงห์บุรี!J508"")"),200)</f>
        <v>200</v>
      </c>
      <c r="K613" s="163">
        <f t="shared" ca="1" si="127"/>
        <v>200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IFERROR(__xludf.DUMMYFUNCTION("IMPORTRANGE(""https://docs.google.com/spreadsheets/d/1SX6NBoVAgQJ6U1MVXOaj8PK2l7WJ3RER9xtqwdhxkhw/edit?usp=sharing"",""สิงห์บุรี!I509"")"),0)</f>
        <v>0</v>
      </c>
      <c r="J614" s="198">
        <f ca="1">IFERROR(__xludf.DUMMYFUNCTION("IMPORTRANGE(""https://docs.google.com/spreadsheets/d/1SX6NBoVAgQJ6U1MVXOaj8PK2l7WJ3RER9xtqwdhxkhw/edit?usp=sharing"",""สิงห์บุรี!J509"")"),200)</f>
        <v>200</v>
      </c>
      <c r="K614" s="163">
        <f t="shared" ca="1" si="127"/>
        <v>200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IFERROR(__xludf.DUMMYFUNCTION("IMPORTRANGE(""https://docs.google.com/spreadsheets/d/1SX6NBoVAgQJ6U1MVXOaj8PK2l7WJ3RER9xtqwdhxkhw/edit?usp=sharing"",""สิงห์บุรี!I510"")"),0)</f>
        <v>0</v>
      </c>
      <c r="J615" s="198">
        <f ca="1">IFERROR(__xludf.DUMMYFUNCTION("IMPORTRANGE(""https://docs.google.com/spreadsheets/d/1SX6NBoVAgQJ6U1MVXOaj8PK2l7WJ3RER9xtqwdhxkhw/edit?usp=sharing"",""สิงห์บุรี!J510"")"),200)</f>
        <v>200</v>
      </c>
      <c r="K615" s="163">
        <f t="shared" ca="1" si="127"/>
        <v>200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IFERROR(__xludf.DUMMYFUNCTION("IMPORTRANGE(""https://docs.google.com/spreadsheets/d/1SX6NBoVAgQJ6U1MVXOaj8PK2l7WJ3RER9xtqwdhxkhw/edit?usp=sharing"",""สิงห์บุรี!I511"")"),0)</f>
        <v>0</v>
      </c>
      <c r="J616" s="198">
        <f ca="1">IFERROR(__xludf.DUMMYFUNCTION("IMPORTRANGE(""https://docs.google.com/spreadsheets/d/1SX6NBoVAgQJ6U1MVXOaj8PK2l7WJ3RER9xtqwdhxkhw/edit?usp=sharing"",""สิงห์บุรี!J511"")"),77)</f>
        <v>77</v>
      </c>
      <c r="K616" s="163">
        <f t="shared" ca="1" si="127"/>
        <v>77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IFERROR(__xludf.DUMMYFUNCTION("IMPORTRANGE(""https://docs.google.com/spreadsheets/d/1SX6NBoVAgQJ6U1MVXOaj8PK2l7WJ3RER9xtqwdhxkhw/edit?usp=sharing"",""สิงห์บุรี!I512"")"),0)</f>
        <v>0</v>
      </c>
      <c r="J617" s="188">
        <f ca="1">IFERROR(__xludf.DUMMYFUNCTION("IMPORTRANGE(""https://docs.google.com/spreadsheets/d/1SX6NBoVAgQJ6U1MVXOaj8PK2l7WJ3RER9xtqwdhxkhw/edit?usp=sharing"",""สิงห์บุรี!J512"")"),0)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IFERROR(__xludf.DUMMYFUNCTION("IMPORTRANGE(""https://docs.google.com/spreadsheets/d/1SX6NBoVAgQJ6U1MVXOaj8PK2l7WJ3RER9xtqwdhxkhw/edit?usp=sharing"",""สิงห์บุรี!I513"")"),0)</f>
        <v>0</v>
      </c>
      <c r="J618" s="189">
        <f ca="1">IFERROR(__xludf.DUMMYFUNCTION("IMPORTRANGE(""https://docs.google.com/spreadsheets/d/1SX6NBoVAgQJ6U1MVXOaj8PK2l7WJ3RER9xtqwdhxkhw/edit?usp=sharing"",""สิงห์บุรี!J513"")"),0)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IFERROR(__xludf.DUMMYFUNCTION("IMPORTRANGE(""https://docs.google.com/spreadsheets/d/1SX6NBoVAgQJ6U1MVXOaj8PK2l7WJ3RER9xtqwdhxkhw/edit?usp=sharing"",""สิงห์บุรี!I514"")"),0)</f>
        <v>0</v>
      </c>
      <c r="J619" s="189">
        <f ca="1">IFERROR(__xludf.DUMMYFUNCTION("IMPORTRANGE(""https://docs.google.com/spreadsheets/d/1SX6NBoVAgQJ6U1MVXOaj8PK2l7WJ3RER9xtqwdhxkhw/edit?usp=sharing"",""สิงห์บุรี!J514"")"),0)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IFERROR(__xludf.DUMMYFUNCTION("IMPORTRANGE(""https://docs.google.com/spreadsheets/d/1SX6NBoVAgQJ6U1MVXOaj8PK2l7WJ3RER9xtqwdhxkhw/edit?usp=sharing"",""สิงห์บุรี!I515"")"),925)</f>
        <v>925</v>
      </c>
      <c r="J620" s="203">
        <f ca="1">IFERROR(__xludf.DUMMYFUNCTION("IMPORTRANGE(""https://docs.google.com/spreadsheets/d/1SX6NBoVAgQJ6U1MVXOaj8PK2l7WJ3RER9xtqwdhxkhw/edit?usp=sharing"",""สิงห์บุรี!J515"")"),0)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IFERROR(__xludf.DUMMYFUNCTION("IMPORTRANGE(""https://docs.google.com/spreadsheets/d/1SX6NBoVAgQJ6U1MVXOaj8PK2l7WJ3RER9xtqwdhxkhw/edit?usp=sharing"",""สิงห์บุรี!I516"")"),0)</f>
        <v>0</v>
      </c>
      <c r="J621" s="203">
        <f ca="1">IFERROR(__xludf.DUMMYFUNCTION("IMPORTRANGE(""https://docs.google.com/spreadsheets/d/1SX6NBoVAgQJ6U1MVXOaj8PK2l7WJ3RER9xtqwdhxkhw/edit?usp=sharing"",""สิงห์บุรี!J516"")"),0)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IFERROR(__xludf.DUMMYFUNCTION("IMPORTRANGE(""https://docs.google.com/spreadsheets/d/1SX6NBoVAgQJ6U1MVXOaj8PK2l7WJ3RER9xtqwdhxkhw/edit?usp=sharing"",""สิงห์บุรี!I517"")"),0)</f>
        <v>0</v>
      </c>
      <c r="J622" s="189">
        <f ca="1">IFERROR(__xludf.DUMMYFUNCTION("IMPORTRANGE(""https://docs.google.com/spreadsheets/d/1SX6NBoVAgQJ6U1MVXOaj8PK2l7WJ3RER9xtqwdhxkhw/edit?usp=sharing"",""สิงห์บุรี!J517"")"),0)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IFERROR(__xludf.DUMMYFUNCTION("IMPORTRANGE(""https://docs.google.com/spreadsheets/d/1SX6NBoVAgQJ6U1MVXOaj8PK2l7WJ3RER9xtqwdhxkhw/edit?usp=sharing"",""สิงห์บุรี!I518"")"),0)</f>
        <v>0</v>
      </c>
      <c r="J623" s="189">
        <f ca="1">IFERROR(__xludf.DUMMYFUNCTION("IMPORTRANGE(""https://docs.google.com/spreadsheets/d/1SX6NBoVAgQJ6U1MVXOaj8PK2l7WJ3RER9xtqwdhxkhw/edit?usp=sharing"",""สิงห์บุรี!J518"")"),0)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IFERROR(__xludf.DUMMYFUNCTION("IMPORTRANGE(""https://docs.google.com/spreadsheets/d/1SX6NBoVAgQJ6U1MVXOaj8PK2l7WJ3RER9xtqwdhxkhw/edit?usp=sharing"",""สิงห์บุรี!I519"")"),0)</f>
        <v>0</v>
      </c>
      <c r="J624" s="188">
        <f ca="1">IFERROR(__xludf.DUMMYFUNCTION("IMPORTRANGE(""https://docs.google.com/spreadsheets/d/1SX6NBoVAgQJ6U1MVXOaj8PK2l7WJ3RER9xtqwdhxkhw/edit?usp=sharing"",""สิงห์บุรี!J519"")"),0)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IFERROR(__xludf.DUMMYFUNCTION("IMPORTRANGE(""https://docs.google.com/spreadsheets/d/1SX6NBoVAgQJ6U1MVXOaj8PK2l7WJ3RER9xtqwdhxkhw/edit?usp=sharing"",""สิงห์บุรี!I520"")"),0)</f>
        <v>0</v>
      </c>
      <c r="J625" s="189">
        <f ca="1">IFERROR(__xludf.DUMMYFUNCTION("IMPORTRANGE(""https://docs.google.com/spreadsheets/d/1SX6NBoVAgQJ6U1MVXOaj8PK2l7WJ3RER9xtqwdhxkhw/edit?usp=sharing"",""สิงห์บุรี!J520"")"),0)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IFERROR(__xludf.DUMMYFUNCTION("IMPORTRANGE(""https://docs.google.com/spreadsheets/d/1SX6NBoVAgQJ6U1MVXOaj8PK2l7WJ3RER9xtqwdhxkhw/edit?usp=sharing"",""สิงห์บุรี!I521"")"),0)</f>
        <v>0</v>
      </c>
      <c r="J626" s="189">
        <f ca="1">IFERROR(__xludf.DUMMYFUNCTION("IMPORTRANGE(""https://docs.google.com/spreadsheets/d/1SX6NBoVAgQJ6U1MVXOaj8PK2l7WJ3RER9xtqwdhxkhw/edit?usp=sharing"",""สิงห์บุรี!J521"")"),0)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IFERROR(__xludf.DUMMYFUNCTION("IMPORTRANGE(""https://docs.google.com/spreadsheets/d/1SX6NBoVAgQJ6U1MVXOaj8PK2l7WJ3RER9xtqwdhxkhw/edit?usp=sharing"",""สิงห์บุรี!I523"")"),520000)</f>
        <v>520000</v>
      </c>
      <c r="J628" s="341">
        <f ca="1">IFERROR(__xludf.DUMMYFUNCTION("IMPORTRANGE(""https://docs.google.com/spreadsheets/d/1SX6NBoVAgQJ6U1MVXOaj8PK2l7WJ3RER9xtqwdhxkhw/edit?usp=sharing"",""สิงห์บุรี!J523"")"),520000)</f>
        <v>520000</v>
      </c>
      <c r="K628" s="342">
        <f t="shared" ref="K628:K635" ca="1" si="129">IF(I628&gt;0,J628*100/I628,0)</f>
        <v>100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IFERROR(__xludf.DUMMYFUNCTION("IMPORTRANGE(""https://docs.google.com/spreadsheets/d/1SX6NBoVAgQJ6U1MVXOaj8PK2l7WJ3RER9xtqwdhxkhw/edit?usp=sharing"",""สิงห์บุรี!I524"")"),18)</f>
        <v>18</v>
      </c>
      <c r="J629" s="341">
        <f ca="1">IFERROR(__xludf.DUMMYFUNCTION("IMPORTRANGE(""https://docs.google.com/spreadsheets/d/1SX6NBoVAgQJ6U1MVXOaj8PK2l7WJ3RER9xtqwdhxkhw/edit?usp=sharing"",""สิงห์บุรี!J524"")"),18)</f>
        <v>18</v>
      </c>
      <c r="K629" s="342">
        <f t="shared" ca="1" si="129"/>
        <v>100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IFERROR(__xludf.DUMMYFUNCTION("IMPORTRANGE(""https://docs.google.com/spreadsheets/d/1SX6NBoVAgQJ6U1MVXOaj8PK2l7WJ3RER9xtqwdhxkhw/edit?usp=sharing"",""สิงห์บุรี!I525"")"),0)</f>
        <v>0</v>
      </c>
      <c r="J630" s="341">
        <f ca="1">IFERROR(__xludf.DUMMYFUNCTION("IMPORTRANGE(""https://docs.google.com/spreadsheets/d/1SX6NBoVAgQJ6U1MVXOaj8PK2l7WJ3RER9xtqwdhxkhw/edit?usp=sharing"",""สิงห์บุรี!J525"")"),0)</f>
        <v>0</v>
      </c>
      <c r="K630" s="342">
        <f t="shared" ca="1" si="129"/>
        <v>0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IFERROR(__xludf.DUMMYFUNCTION("IMPORTRANGE(""https://docs.google.com/spreadsheets/d/1SX6NBoVAgQJ6U1MVXOaj8PK2l7WJ3RER9xtqwdhxkhw/edit?usp=sharing"",""สิงห์บุรี!I526"")"),0)</f>
        <v>0</v>
      </c>
      <c r="J631" s="341">
        <f ca="1">IFERROR(__xludf.DUMMYFUNCTION("IMPORTRANGE(""https://docs.google.com/spreadsheets/d/1SX6NBoVAgQJ6U1MVXOaj8PK2l7WJ3RER9xtqwdhxkhw/edit?usp=sharing"",""สิงห์บุรี!J526"")"),0)</f>
        <v>0</v>
      </c>
      <c r="K631" s="342">
        <f t="shared" ca="1" si="129"/>
        <v>0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IFERROR(__xludf.DUMMYFUNCTION("IMPORTRANGE(""https://docs.google.com/spreadsheets/d/1SX6NBoVAgQJ6U1MVXOaj8PK2l7WJ3RER9xtqwdhxkhw/edit?usp=sharing"",""สิงห์บุรี!I527"")"),69433.95)</f>
        <v>69433.95</v>
      </c>
      <c r="J632" s="341">
        <f ca="1">IFERROR(__xludf.DUMMYFUNCTION("IMPORTRANGE(""https://docs.google.com/spreadsheets/d/1SX6NBoVAgQJ6U1MVXOaj8PK2l7WJ3RER9xtqwdhxkhw/edit?usp=sharing"",""สิงห์บุรี!J527"")"),14387.06)</f>
        <v>14387.06</v>
      </c>
      <c r="K632" s="342">
        <f t="shared" ca="1" si="129"/>
        <v>20.720497681609647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IFERROR(__xludf.DUMMYFUNCTION("IMPORTRANGE(""https://docs.google.com/spreadsheets/d/1SX6NBoVAgQJ6U1MVXOaj8PK2l7WJ3RER9xtqwdhxkhw/edit?usp=sharing"",""สิงห์บุรี!I528"")"),25)</f>
        <v>25</v>
      </c>
      <c r="J633" s="341">
        <f ca="1">IFERROR(__xludf.DUMMYFUNCTION("IMPORTRANGE(""https://docs.google.com/spreadsheets/d/1SX6NBoVAgQJ6U1MVXOaj8PK2l7WJ3RER9xtqwdhxkhw/edit?usp=sharing"",""สิงห์บุรี!J528"")"),6)</f>
        <v>6</v>
      </c>
      <c r="K633" s="342">
        <f t="shared" ca="1" si="129"/>
        <v>24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IFERROR(__xludf.DUMMYFUNCTION("IMPORTRANGE(""https://docs.google.com/spreadsheets/d/1SX6NBoVAgQJ6U1MVXOaj8PK2l7WJ3RER9xtqwdhxkhw/edit?usp=sharing"",""สิงห์บุรี!I529"")"),520000)</f>
        <v>520000</v>
      </c>
      <c r="J634" s="341">
        <f ca="1">IFERROR(__xludf.DUMMYFUNCTION("IMPORTRANGE(""https://docs.google.com/spreadsheets/d/1SX6NBoVAgQJ6U1MVXOaj8PK2l7WJ3RER9xtqwdhxkhw/edit?usp=sharing"",""สิงห์บุรี!J529"")"),520000)</f>
        <v>520000</v>
      </c>
      <c r="K634" s="342">
        <f t="shared" ca="1" si="129"/>
        <v>100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IFERROR(__xludf.DUMMYFUNCTION("IMPORTRANGE(""https://docs.google.com/spreadsheets/d/1SX6NBoVAgQJ6U1MVXOaj8PK2l7WJ3RER9xtqwdhxkhw/edit?usp=sharing"",""สิงห์บุรี!I530"")"),19)</f>
        <v>19</v>
      </c>
      <c r="J635" s="504">
        <f ca="1">IFERROR(__xludf.DUMMYFUNCTION("IMPORTRANGE(""https://docs.google.com/spreadsheets/d/1SX6NBoVAgQJ6U1MVXOaj8PK2l7WJ3RER9xtqwdhxkhw/edit?usp=sharing"",""สิงห์บุรี!J530"")"),17)</f>
        <v>17</v>
      </c>
      <c r="K635" s="486">
        <f t="shared" ca="1" si="129"/>
        <v>89.473684210526315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276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7158250</v>
      </c>
      <c r="M8" s="23">
        <f t="shared" ca="1" si="0"/>
        <v>3954731</v>
      </c>
      <c r="N8" s="23">
        <f t="shared" ca="1" si="0"/>
        <v>4256483.18</v>
      </c>
      <c r="O8" s="22">
        <f t="shared" ref="O8:O16" ca="1" si="1">IF(L8&gt;0,N8*100/L8,0)</f>
        <v>59.46262256836517</v>
      </c>
      <c r="P8" s="22">
        <f t="shared" ref="P8:P16" ca="1" si="2">IF(M8&gt;0,N8*100/M8,0)</f>
        <v>107.63015689309842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7158250</v>
      </c>
      <c r="M10" s="30">
        <f t="shared" ca="1" si="4"/>
        <v>3954731</v>
      </c>
      <c r="N10" s="30">
        <f t="shared" ca="1" si="4"/>
        <v>4256483.18</v>
      </c>
      <c r="O10" s="29">
        <f t="shared" ca="1" si="1"/>
        <v>59.46262256836517</v>
      </c>
      <c r="P10" s="29">
        <f t="shared" ca="1" si="2"/>
        <v>107.63015689309842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6225250</v>
      </c>
      <c r="M12" s="38">
        <f t="shared" ca="1" si="6"/>
        <v>3021731</v>
      </c>
      <c r="N12" s="38">
        <f t="shared" ca="1" si="6"/>
        <v>3323483.1799999997</v>
      </c>
      <c r="O12" s="38">
        <f t="shared" ca="1" si="1"/>
        <v>53.387143970121684</v>
      </c>
      <c r="P12" s="38">
        <f t="shared" ca="1" si="2"/>
        <v>109.98607023590121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2351700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3873550</v>
      </c>
      <c r="M14" s="38">
        <f t="shared" si="8"/>
        <v>0</v>
      </c>
      <c r="N14" s="38">
        <f t="shared" ca="1" si="8"/>
        <v>1122382.93</v>
      </c>
      <c r="O14" s="38">
        <f t="shared" ca="1" si="1"/>
        <v>28.97556324301997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933000</v>
      </c>
      <c r="M16" s="38">
        <f t="shared" ca="1" si="10"/>
        <v>933000</v>
      </c>
      <c r="N16" s="38">
        <f t="shared" ca="1" si="10"/>
        <v>933000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4527855</v>
      </c>
      <c r="M18" s="23">
        <f t="shared" ca="1" si="11"/>
        <v>3954731</v>
      </c>
      <c r="N18" s="23">
        <f t="shared" ca="1" si="11"/>
        <v>3134100.25</v>
      </c>
      <c r="O18" s="22">
        <f t="shared" ref="O18:O20" ca="1" si="12">IF(L18&gt;0,N18*100/L18,0)</f>
        <v>69.218211493080062</v>
      </c>
      <c r="P18" s="22">
        <f t="shared" ref="P18:P26" ca="1" si="13">IF(M18&gt;0,N18*100/M18,0)</f>
        <v>79.249391425105784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4527855</v>
      </c>
      <c r="M20" s="30">
        <f t="shared" ca="1" si="15"/>
        <v>3954731</v>
      </c>
      <c r="N20" s="30">
        <f t="shared" ca="1" si="15"/>
        <v>3134100.25</v>
      </c>
      <c r="O20" s="29">
        <f t="shared" ca="1" si="12"/>
        <v>69.218211493080062</v>
      </c>
      <c r="P20" s="29">
        <f t="shared" ca="1" si="13"/>
        <v>79.249391425105784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3594855</v>
      </c>
      <c r="M22" s="41">
        <f t="shared" ca="1" si="18"/>
        <v>3021731</v>
      </c>
      <c r="N22" s="38">
        <f t="shared" ca="1" si="18"/>
        <v>2201100.25</v>
      </c>
      <c r="O22" s="38">
        <f t="shared" ca="1" si="17"/>
        <v>61.229180314644125</v>
      </c>
      <c r="P22" s="38">
        <f t="shared" ca="1" si="13"/>
        <v>72.842362539881947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2351700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1243155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933000</v>
      </c>
      <c r="M26" s="49">
        <f t="shared" ca="1" si="22"/>
        <v>933000</v>
      </c>
      <c r="N26" s="49">
        <f t="shared" ca="1" si="22"/>
        <v>933000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2630395</v>
      </c>
      <c r="M28" s="23">
        <f t="shared" si="23"/>
        <v>0</v>
      </c>
      <c r="N28" s="23">
        <f t="shared" ca="1" si="23"/>
        <v>1122382.93</v>
      </c>
      <c r="O28" s="22">
        <f t="shared" ref="O28:O30" ca="1" si="24">IF(L28&gt;0,N28*100/L28,0)</f>
        <v>42.669748459832078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2630395</v>
      </c>
      <c r="M30" s="30">
        <f t="shared" si="27"/>
        <v>0</v>
      </c>
      <c r="N30" s="30">
        <f t="shared" ca="1" si="27"/>
        <v>1122382.93</v>
      </c>
      <c r="O30" s="29">
        <f t="shared" ca="1" si="24"/>
        <v>42.669748459832078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2630395</v>
      </c>
      <c r="M32" s="38">
        <f t="shared" si="30"/>
        <v>0</v>
      </c>
      <c r="N32" s="38">
        <f t="shared" ca="1" si="30"/>
        <v>1122382.93</v>
      </c>
      <c r="O32" s="38">
        <f t="shared" ca="1" si="29"/>
        <v>42.669748459832078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2630395</v>
      </c>
      <c r="M34" s="38">
        <f t="shared" si="32"/>
        <v>0</v>
      </c>
      <c r="N34" s="38">
        <f t="shared" ca="1" si="32"/>
        <v>1122382.93</v>
      </c>
      <c r="O34" s="38">
        <f t="shared" ca="1" si="29"/>
        <v>42.669748459832078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4527855</v>
      </c>
      <c r="M37" s="54">
        <f t="shared" ca="1" si="33"/>
        <v>3954731</v>
      </c>
      <c r="N37" s="54">
        <f t="shared" ca="1" si="33"/>
        <v>3134100.2500000005</v>
      </c>
      <c r="O37" s="55">
        <f t="shared" ca="1" si="29"/>
        <v>69.218211493080076</v>
      </c>
      <c r="P37" s="55">
        <f t="shared" ca="1" si="25"/>
        <v>79.249391425105799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851300</v>
      </c>
      <c r="M41" s="78">
        <f t="shared" ca="1" si="34"/>
        <v>638500</v>
      </c>
      <c r="N41" s="78">
        <f t="shared" ca="1" si="34"/>
        <v>485997.57</v>
      </c>
      <c r="O41" s="77">
        <f t="shared" ref="O41:O43" ca="1" si="35">IF(L41&gt;0,N41*100/L41,0)</f>
        <v>57.088872312933162</v>
      </c>
      <c r="P41" s="77">
        <f t="shared" ref="P41:P43" ca="1" si="36">IF(M41&gt;0,N41*100/M41,0)</f>
        <v>76.115516053249806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851300</v>
      </c>
      <c r="M43" s="78">
        <f t="shared" ca="1" si="38"/>
        <v>638500</v>
      </c>
      <c r="N43" s="78">
        <f t="shared" ca="1" si="38"/>
        <v>485997.57</v>
      </c>
      <c r="O43" s="77">
        <f t="shared" ca="1" si="35"/>
        <v>57.088872312933162</v>
      </c>
      <c r="P43" s="77">
        <f t="shared" ca="1" si="36"/>
        <v>76.115516053249806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851300</v>
      </c>
      <c r="M45" s="49">
        <f ca="1">IFERROR(__xludf.DUMMYFUNCTION("IMPORTRANGE(""https://docs.google.com/spreadsheets/d/1Yj_ptqi66GCucihVvJfMjLAmec39IyEx_6qawtMGysU/edit?usp=sharing"",""สบก!Q78"")"),638500)</f>
        <v>638500</v>
      </c>
      <c r="N45" s="49">
        <f ca="1">IFERROR(__xludf.DUMMYFUNCTION("IMPORTRANGE(""https://docs.google.com/spreadsheets/d/1Yj_ptqi66GCucihVvJfMjLAmec39IyEx_6qawtMGysU/edit?usp=sharing"",""สบก!R78"")"),485997.57)</f>
        <v>485997.57</v>
      </c>
      <c r="O45" s="38">
        <f ca="1">IF(L45&gt;0,N45*100/L45,0)</f>
        <v>57.088872312933162</v>
      </c>
      <c r="P45" s="38">
        <f ca="1">IF(M45&gt;0,N45*100/M45,0)</f>
        <v>76.115516053249806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IFERROR(__xludf.DUMMYFUNCTION("IMPORTRANGE(""https://docs.google.com/spreadsheets/d/1Yj_ptqi66GCucihVvJfMjLAmec39IyEx_6qawtMGysU/edit?usp=sharing"",""สบก!M78"")"),851300)</f>
        <v>851300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IFERROR(__xludf.DUMMYFUNCTION("IMPORTRANGE(""https://docs.google.com/spreadsheets/d/1Yj_ptqi66GCucihVvJfMjLAmec39IyEx_6qawtMGysU/edit?usp=sharing"",""สบก!N78"")"),0)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IFERROR(__xludf.DUMMYFUNCTION("IMPORTRANGE(""https://docs.google.com/spreadsheets/d/1Yj_ptqi66GCucihVvJfMjLAmec39IyEx_6qawtMGysU/edit?usp=sharing"",""สบก!O78"")"),0)</f>
        <v>0</v>
      </c>
      <c r="M49" s="49"/>
      <c r="N49" s="49">
        <f ca="1">IFERROR(__xludf.DUMMYFUNCTION("IMPORTRANGE(""https://docs.google.com/spreadsheets/d/1Yj_ptqi66GCucihVvJfMjLAmec39IyEx_6qawtMGysU/edit?usp=sharing"",""สบก!S78"")"),0)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607281</v>
      </c>
      <c r="N53" s="121">
        <f t="shared" ca="1" si="39"/>
        <v>503431</v>
      </c>
      <c r="O53" s="120">
        <f t="shared" ref="O53:O55" ca="1" si="40">IF(L53&gt;0,N53*100/L53,0)</f>
        <v>83.905166666666673</v>
      </c>
      <c r="P53" s="120">
        <f t="shared" ref="P53:P55" ca="1" si="41">IF(M53&gt;0,N53*100/M53,0)</f>
        <v>82.899185056011959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607281</v>
      </c>
      <c r="N55" s="121">
        <f t="shared" ca="1" si="43"/>
        <v>503431</v>
      </c>
      <c r="O55" s="120">
        <f t="shared" ca="1" si="40"/>
        <v>83.905166666666673</v>
      </c>
      <c r="P55" s="120">
        <f t="shared" ca="1" si="41"/>
        <v>82.899185056011959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IFERROR(__xludf.DUMMYFUNCTION("IMPORTRANGE(""https://docs.google.com/spreadsheets/d/1Yj_ptqi66GCucihVvJfMjLAmec39IyEx_6qawtMGysU/edit?usp=sharing"",""สบก!Z78"")"),607281)</f>
        <v>607281</v>
      </c>
      <c r="N57" s="49">
        <f ca="1">IFERROR(__xludf.DUMMYFUNCTION("IMPORTRANGE(""https://docs.google.com/spreadsheets/d/1Yj_ptqi66GCucihVvJfMjLAmec39IyEx_6qawtMGysU/edit?usp=sharing"",""สบก!AA78"")"),503431)</f>
        <v>503431</v>
      </c>
      <c r="O57" s="38">
        <f ca="1">IF(L57&gt;0,N57*100/L57,0)</f>
        <v>83.905166666666673</v>
      </c>
      <c r="P57" s="38">
        <f ca="1">IF(M57&gt;0,N57*100/M57,0)</f>
        <v>82.899185056011959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IFERROR(__xludf.DUMMYFUNCTION("IMPORTRANGE(""https://docs.google.com/spreadsheets/d/1Yj_ptqi66GCucihVvJfMjLAmec39IyEx_6qawtMGysU/edit?usp=sharing"",""สบก!V78"")"),600000)</f>
        <v>600000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IFERROR(__xludf.DUMMYFUNCTION("IMPORTRANGE(""https://docs.google.com/spreadsheets/d/1Yj_ptqi66GCucihVvJfMjLAmec39IyEx_6qawtMGysU/edit?usp=sharing"",""สบก!W78"")"),0)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IFERROR(__xludf.DUMMYFUNCTION("IMPORTRANGE(""https://docs.google.com/spreadsheets/d/1Yj_ptqi66GCucihVvJfMjLAmec39IyEx_6qawtMGysU/edit?usp=sharing"",""สบก!X78"")"),0)</f>
        <v>0</v>
      </c>
      <c r="M61" s="49"/>
      <c r="N61" s="49">
        <f ca="1">IFERROR(__xludf.DUMMYFUNCTION("IMPORTRANGE(""https://docs.google.com/spreadsheets/d/1Yj_ptqi66GCucihVvJfMjLAmec39IyEx_6qawtMGysU/edit?usp=sharing"",""สบก!AB78"")"),0)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IFERROR(__xludf.DUMMYFUNCTION("IMPORTRANGE(""https://docs.google.com/spreadsheets/d/1SX6NBoVAgQJ6U1MVXOaj8PK2l7WJ3RER9xtqwdhxkhw/edit?usp=sharing"",""สุพรรณบุรี!I9"")"),2)</f>
        <v>2</v>
      </c>
      <c r="J64" s="142">
        <f ca="1">IFERROR(__xludf.DUMMYFUNCTION("IMPORTRANGE(""https://docs.google.com/spreadsheets/d/1SX6NBoVAgQJ6U1MVXOaj8PK2l7WJ3RER9xtqwdhxkhw/edit?usp=sharing"",""สุพรรณบุรี!J9"")"),2)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IFERROR(__xludf.DUMMYFUNCTION("IMPORTRANGE(""https://docs.google.com/spreadsheets/d/1SX6NBoVAgQJ6U1MVXOaj8PK2l7WJ3RER9xtqwdhxkhw/edit?usp=sharing"",""สุพรรณบุรี!I10"")"),70)</f>
        <v>70</v>
      </c>
      <c r="J65" s="142">
        <f ca="1">IFERROR(__xludf.DUMMYFUNCTION("IMPORTRANGE(""https://docs.google.com/spreadsheets/d/1SX6NBoVAgQJ6U1MVXOaj8PK2l7WJ3RER9xtqwdhxkhw/edit?usp=sharing"",""สุพรรณบุรี!J10"")"),70)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1870200</v>
      </c>
      <c r="M66" s="152">
        <f t="shared" ca="1" si="45"/>
        <v>1714400</v>
      </c>
      <c r="N66" s="152">
        <f t="shared" ca="1" si="45"/>
        <v>1450290</v>
      </c>
      <c r="O66" s="151">
        <f t="shared" ref="O66:O68" ca="1" si="46">IF(L66&gt;0,N66*100/L66,0)</f>
        <v>77.547321142123835</v>
      </c>
      <c r="P66" s="151">
        <f t="shared" ref="P66:P68" ca="1" si="47">IF(M66&gt;0,N66*100/M66,0)</f>
        <v>84.594610359309385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1870200</v>
      </c>
      <c r="M68" s="157">
        <f t="shared" ca="1" si="49"/>
        <v>1714400</v>
      </c>
      <c r="N68" s="157">
        <f t="shared" ca="1" si="49"/>
        <v>1450290</v>
      </c>
      <c r="O68" s="156">
        <f t="shared" ca="1" si="46"/>
        <v>77.547321142123835</v>
      </c>
      <c r="P68" s="156">
        <f t="shared" ca="1" si="47"/>
        <v>84.594610359309385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947200</v>
      </c>
      <c r="M70" s="168">
        <f ca="1">IFERROR(__xludf.DUMMYFUNCTION("IMPORTRANGE(""https://docs.google.com/spreadsheets/d/1Yj_ptqi66GCucihVvJfMjLAmec39IyEx_6qawtMGysU/edit?usp=sharing"",""สบก!AI78"")"),791400)</f>
        <v>791400</v>
      </c>
      <c r="N70" s="169">
        <f ca="1">IFERROR(__xludf.DUMMYFUNCTION("IMPORTRANGE(""https://docs.google.com/spreadsheets/d/1Yj_ptqi66GCucihVvJfMjLAmec39IyEx_6qawtMGysU/edit?usp=sharing"",""สบก!AJ78"")"),527290)</f>
        <v>527290</v>
      </c>
      <c r="O70" s="169">
        <f ca="1">IF(L70&gt;0,N70*100/L70,0)</f>
        <v>55.668285472972975</v>
      </c>
      <c r="P70" s="169">
        <f ca="1">IF(M70&gt;0,N70*100/M70,0)</f>
        <v>66.627495577457665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IFERROR(__xludf.DUMMYFUNCTION("IMPORTRANGE(""https://docs.google.com/spreadsheets/d/1Yj_ptqi66GCucihVvJfMjLAmec39IyEx_6qawtMGysU/edit?usp=sharing"",""สบก!AE78"")"),317200)</f>
        <v>317200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IFERROR(__xludf.DUMMYFUNCTION("IMPORTRANGE(""https://docs.google.com/spreadsheets/d/1Yj_ptqi66GCucihVvJfMjLAmec39IyEx_6qawtMGysU/edit?usp=sharing"",""สบก!AF78"")"),630000)</f>
        <v>630000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IFERROR(__xludf.DUMMYFUNCTION("IMPORTRANGE(""https://docs.google.com/spreadsheets/d/1Yj_ptqi66GCucihVvJfMjLAmec39IyEx_6qawtMGysU/edit?usp=sharing"",""สบก!AG78"")"),923000)</f>
        <v>923000</v>
      </c>
      <c r="M74" s="49">
        <f ca="1">L74</f>
        <v>923000</v>
      </c>
      <c r="N74" s="49">
        <f ca="1">IFERROR(__xludf.DUMMYFUNCTION("IMPORTRANGE(""https://docs.google.com/spreadsheets/d/1Yj_ptqi66GCucihVvJfMjLAmec39IyEx_6qawtMGysU/edit?usp=sharing"",""สบก!AK78"")"),923000)</f>
        <v>923000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IFERROR(__xludf.DUMMYFUNCTION("IMPORTRANGE(""https://docs.google.com/spreadsheets/d/1SX6NBoVAgQJ6U1MVXOaj8PK2l7WJ3RER9xtqwdhxkhw/edit?usp=sharing"",""สุพรรณบุรี!J16"")"),0)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IFERROR(__xludf.DUMMYFUNCTION("IMPORTRANGE(""https://docs.google.com/spreadsheets/d/1SX6NBoVAgQJ6U1MVXOaj8PK2l7WJ3RER9xtqwdhxkhw/edit?usp=sharing"",""สุพรรณบุรี!J17"")"),1)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IFERROR(__xludf.DUMMYFUNCTION("IMPORTRANGE(""https://docs.google.com/spreadsheets/d/1SX6NBoVAgQJ6U1MVXOaj8PK2l7WJ3RER9xtqwdhxkhw/edit?usp=sharing"",""สุพรรณบุรี!J18"")"),1)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IFERROR(__xludf.DUMMYFUNCTION("IMPORTRANGE(""https://docs.google.com/spreadsheets/d/1SX6NBoVAgQJ6U1MVXOaj8PK2l7WJ3RER9xtqwdhxkhw/edit?usp=sharing"",""สุพรรณบุรี!J19"")"),1)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IFERROR(__xludf.DUMMYFUNCTION("IMPORTRANGE(""https://docs.google.com/spreadsheets/d/1SX6NBoVAgQJ6U1MVXOaj8PK2l7WJ3RER9xtqwdhxkhw/edit?usp=sharing"",""สุพรรณบุรี!I20"")"),2)</f>
        <v>2</v>
      </c>
      <c r="J80" s="201">
        <f ca="1">IFERROR(__xludf.DUMMYFUNCTION("IMPORTRANGE(""https://docs.google.com/spreadsheets/d/1SX6NBoVAgQJ6U1MVXOaj8PK2l7WJ3RER9xtqwdhxkhw/edit?usp=sharing"",""สุพรรณบุรี!J20"")"),2)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IFERROR(__xludf.DUMMYFUNCTION("IMPORTRANGE(""https://docs.google.com/spreadsheets/d/1SX6NBoVAgQJ6U1MVXOaj8PK2l7WJ3RER9xtqwdhxkhw/edit?usp=sharing"",""สุพรรณบุรี!I21"")"),70)</f>
        <v>70</v>
      </c>
      <c r="J81" s="201">
        <f ca="1">IFERROR(__xludf.DUMMYFUNCTION("IMPORTRANGE(""https://docs.google.com/spreadsheets/d/1SX6NBoVAgQJ6U1MVXOaj8PK2l7WJ3RER9xtqwdhxkhw/edit?usp=sharing"",""สุพรรณบุรี!J21"")"),70)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IFERROR(__xludf.DUMMYFUNCTION("IMPORTRANGE(""https://docs.google.com/spreadsheets/d/1SX6NBoVAgQJ6U1MVXOaj8PK2l7WJ3RER9xtqwdhxkhw/edit?usp=sharing"",""สุพรรณบุรี!I22"")"),0)</f>
        <v>0</v>
      </c>
      <c r="J82" s="204">
        <f ca="1">IFERROR(__xludf.DUMMYFUNCTION("IMPORTRANGE(""https://docs.google.com/spreadsheets/d/1SX6NBoVAgQJ6U1MVXOaj8PK2l7WJ3RER9xtqwdhxkhw/edit?usp=sharing"",""สุพรรณบุรี!J22"")"),0)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IFERROR(__xludf.DUMMYFUNCTION("IMPORTRANGE(""https://docs.google.com/spreadsheets/d/1SX6NBoVAgQJ6U1MVXOaj8PK2l7WJ3RER9xtqwdhxkhw/edit?usp=sharing"",""สุพรรณบุรี!I23"")"),0)</f>
        <v>0</v>
      </c>
      <c r="J83" s="204">
        <f ca="1">IFERROR(__xludf.DUMMYFUNCTION("IMPORTRANGE(""https://docs.google.com/spreadsheets/d/1SX6NBoVAgQJ6U1MVXOaj8PK2l7WJ3RER9xtqwdhxkhw/edit?usp=sharing"",""สุพรรณบุรี!J23"")"),0)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IFERROR(__xludf.DUMMYFUNCTION("IMPORTRANGE(""https://docs.google.com/spreadsheets/d/1SX6NBoVAgQJ6U1MVXOaj8PK2l7WJ3RER9xtqwdhxkhw/edit?usp=sharing"",""สุพรรณบุรี!I24"")"),0)</f>
        <v>0</v>
      </c>
      <c r="J84" s="189">
        <f ca="1">IFERROR(__xludf.DUMMYFUNCTION("IMPORTRANGE(""https://docs.google.com/spreadsheets/d/1SX6NBoVAgQJ6U1MVXOaj8PK2l7WJ3RER9xtqwdhxkhw/edit?usp=sharing"",""สุพรรณบุรี!J24"")"),0)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IFERROR(__xludf.DUMMYFUNCTION("IMPORTRANGE(""https://docs.google.com/spreadsheets/d/1SX6NBoVAgQJ6U1MVXOaj8PK2l7WJ3RER9xtqwdhxkhw/edit?usp=sharing"",""สุพรรณบุรี!I25"")"),0)</f>
        <v>0</v>
      </c>
      <c r="J85" s="189">
        <f ca="1">IFERROR(__xludf.DUMMYFUNCTION("IMPORTRANGE(""https://docs.google.com/spreadsheets/d/1SX6NBoVAgQJ6U1MVXOaj8PK2l7WJ3RER9xtqwdhxkhw/edit?usp=sharing"",""สุพรรณบุรี!J25"")"),0)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IFERROR(__xludf.DUMMYFUNCTION("IMPORTRANGE(""https://docs.google.com/spreadsheets/d/1SX6NBoVAgQJ6U1MVXOaj8PK2l7WJ3RER9xtqwdhxkhw/edit?usp=sharing"",""สุพรรณบุรี!I26"")"),2)</f>
        <v>2</v>
      </c>
      <c r="J86" s="204">
        <f ca="1">IFERROR(__xludf.DUMMYFUNCTION("IMPORTRANGE(""https://docs.google.com/spreadsheets/d/1SX6NBoVAgQJ6U1MVXOaj8PK2l7WJ3RER9xtqwdhxkhw/edit?usp=sharing"",""สุพรรณบุรี!J26"")"),2)</f>
        <v>2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IFERROR(__xludf.DUMMYFUNCTION("IMPORTRANGE(""https://docs.google.com/spreadsheets/d/1SX6NBoVAgQJ6U1MVXOaj8PK2l7WJ3RER9xtqwdhxkhw/edit?usp=sharing"",""สุพรรณบุรี!I27"")"),70)</f>
        <v>70</v>
      </c>
      <c r="J87" s="204">
        <f ca="1">IFERROR(__xludf.DUMMYFUNCTION("IMPORTRANGE(""https://docs.google.com/spreadsheets/d/1SX6NBoVAgQJ6U1MVXOaj8PK2l7WJ3RER9xtqwdhxkhw/edit?usp=sharing"",""สุพรรณบุรี!J27"")"),70)</f>
        <v>70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IFERROR(__xludf.DUMMYFUNCTION("IMPORTRANGE(""https://docs.google.com/spreadsheets/d/1SX6NBoVAgQJ6U1MVXOaj8PK2l7WJ3RER9xtqwdhxkhw/edit?usp=sharing"",""สุพรรณบุรี!I28"")"),0)</f>
        <v>0</v>
      </c>
      <c r="J88" s="204">
        <f ca="1">IFERROR(__xludf.DUMMYFUNCTION("IMPORTRANGE(""https://docs.google.com/spreadsheets/d/1SX6NBoVAgQJ6U1MVXOaj8PK2l7WJ3RER9xtqwdhxkhw/edit?usp=sharing"",""สุพรรณบุรี!J28"")"),0)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IFERROR(__xludf.DUMMYFUNCTION("IMPORTRANGE(""https://docs.google.com/spreadsheets/d/1SX6NBoVAgQJ6U1MVXOaj8PK2l7WJ3RER9xtqwdhxkhw/edit?usp=sharing"",""สุพรรณบุรี!J29"")"),0)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IFERROR(__xludf.DUMMYFUNCTION("IMPORTRANGE(""https://docs.google.com/spreadsheets/d/1SX6NBoVAgQJ6U1MVXOaj8PK2l7WJ3RER9xtqwdhxkhw/edit?usp=sharing"",""สุพรรณบุรี!J30"")"),0)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IFERROR(__xludf.DUMMYFUNCTION("IMPORTRANGE(""https://docs.google.com/spreadsheets/d/1SX6NBoVAgQJ6U1MVXOaj8PK2l7WJ3RER9xtqwdhxkhw/edit?usp=sharing"",""สุพรรณบุรี!I32"")"),0)</f>
        <v>0</v>
      </c>
      <c r="J92" s="142">
        <f ca="1">IFERROR(__xludf.DUMMYFUNCTION("IMPORTRANGE(""https://docs.google.com/spreadsheets/d/1SX6NBoVAgQJ6U1MVXOaj8PK2l7WJ3RER9xtqwdhxkhw/edit?usp=sharing"",""สุพรรณบุรี!J32"")"),0)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IFERROR(__xludf.DUMMYFUNCTION("IMPORTRANGE(""https://docs.google.com/spreadsheets/d/1SX6NBoVAgQJ6U1MVXOaj8PK2l7WJ3RER9xtqwdhxkhw/edit?usp=sharing"",""สุพรรณบุรี!I33"")"),0)</f>
        <v>0</v>
      </c>
      <c r="J93" s="142">
        <f ca="1">IFERROR(__xludf.DUMMYFUNCTION("IMPORTRANGE(""https://docs.google.com/spreadsheets/d/1SX6NBoVAgQJ6U1MVXOaj8PK2l7WJ3RER9xtqwdhxkhw/edit?usp=sharing"",""สุพรรณบุรี!J33"")"),0)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IFERROR(__xludf.DUMMYFUNCTION("IMPORTRANGE(""https://docs.google.com/spreadsheets/d/1Yj_ptqi66GCucihVvJfMjLAmec39IyEx_6qawtMGysU/edit?usp=sharing"",""สบก!AR78"")"),0)</f>
        <v>0</v>
      </c>
      <c r="N98" s="169">
        <f ca="1">IFERROR(__xludf.DUMMYFUNCTION("IMPORTRANGE(""https://docs.google.com/spreadsheets/d/1Yj_ptqi66GCucihVvJfMjLAmec39IyEx_6qawtMGysU/edit?usp=sharing"",""สบก!AS78"")"),0)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IFERROR(__xludf.DUMMYFUNCTION("IMPORTRANGE(""https://docs.google.com/spreadsheets/d/1Yj_ptqi66GCucihVvJfMjLAmec39IyEx_6qawtMGysU/edit?usp=sharing"",""สบก!AN78"")"),0)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IFERROR(__xludf.DUMMYFUNCTION("IMPORTRANGE(""https://docs.google.com/spreadsheets/d/1Yj_ptqi66GCucihVvJfMjLAmec39IyEx_6qawtMGysU/edit?usp=sharing"",""สบก!AO78"")"),0)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IFERROR(__xludf.DUMMYFUNCTION("IMPORTRANGE(""https://docs.google.com/spreadsheets/d/1Yj_ptqi66GCucihVvJfMjLAmec39IyEx_6qawtMGysU/edit?usp=sharing"",""สบก!AP78"")"),0)</f>
        <v>0</v>
      </c>
      <c r="M102" s="49"/>
      <c r="N102" s="49">
        <f ca="1">IFERROR(__xludf.DUMMYFUNCTION("IMPORTRANGE(""https://docs.google.com/spreadsheets/d/1Yj_ptqi66GCucihVvJfMjLAmec39IyEx_6qawtMGysU/edit?usp=sharing"",""สบก!AT78"")"),0)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IFERROR(__xludf.DUMMYFUNCTION("IMPORTRANGE(""https://docs.google.com/spreadsheets/d/1SX6NBoVAgQJ6U1MVXOaj8PK2l7WJ3RER9xtqwdhxkhw/edit?usp=sharing"",""สุพรรณบุรี!J39"")"),0)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IFERROR(__xludf.DUMMYFUNCTION("IMPORTRANGE(""https://docs.google.com/spreadsheets/d/1SX6NBoVAgQJ6U1MVXOaj8PK2l7WJ3RER9xtqwdhxkhw/edit?usp=sharing"",""สุพรรณบุรี!J40"")"),0)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IFERROR(__xludf.DUMMYFUNCTION("IMPORTRANGE(""https://docs.google.com/spreadsheets/d/1SX6NBoVAgQJ6U1MVXOaj8PK2l7WJ3RER9xtqwdhxkhw/edit?usp=sharing"",""สุพรรณบุรี!J41"")"),0)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IFERROR(__xludf.DUMMYFUNCTION("IMPORTRANGE(""https://docs.google.com/spreadsheets/d/1SX6NBoVAgQJ6U1MVXOaj8PK2l7WJ3RER9xtqwdhxkhw/edit?usp=sharing"",""สุพรรณบุรี!J42"")"),0)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IFERROR(__xludf.DUMMYFUNCTION("IMPORTRANGE(""https://docs.google.com/spreadsheets/d/1SX6NBoVAgQJ6U1MVXOaj8PK2l7WJ3RER9xtqwdhxkhw/edit?usp=sharing"",""สุพรรณบุรี!I43"")"),0)</f>
        <v>0</v>
      </c>
      <c r="J108" s="204">
        <f ca="1">IFERROR(__xludf.DUMMYFUNCTION("IMPORTRANGE(""https://docs.google.com/spreadsheets/d/1SX6NBoVAgQJ6U1MVXOaj8PK2l7WJ3RER9xtqwdhxkhw/edit?usp=sharing"",""สุพรรณบุรี!J43"")"),0)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IFERROR(__xludf.DUMMYFUNCTION("IMPORTRANGE(""https://docs.google.com/spreadsheets/d/1SX6NBoVAgQJ6U1MVXOaj8PK2l7WJ3RER9xtqwdhxkhw/edit?usp=sharing"",""สุพรรณบุรี!I44"")"),0)</f>
        <v>0</v>
      </c>
      <c r="J109" s="204">
        <f ca="1">IFERROR(__xludf.DUMMYFUNCTION("IMPORTRANGE(""https://docs.google.com/spreadsheets/d/1SX6NBoVAgQJ6U1MVXOaj8PK2l7WJ3RER9xtqwdhxkhw/edit?usp=sharing"",""สุพรรณบุรี!J44"")"),0)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IFERROR(__xludf.DUMMYFUNCTION("IMPORTRANGE(""https://docs.google.com/spreadsheets/d/1SX6NBoVAgQJ6U1MVXOaj8PK2l7WJ3RER9xtqwdhxkhw/edit?usp=sharing"",""สุพรรณบุรี!I45"")"),0)</f>
        <v>0</v>
      </c>
      <c r="J110" s="204">
        <f ca="1">IFERROR(__xludf.DUMMYFUNCTION("IMPORTRANGE(""https://docs.google.com/spreadsheets/d/1SX6NBoVAgQJ6U1MVXOaj8PK2l7WJ3RER9xtqwdhxkhw/edit?usp=sharing"",""สุพรรณบุรี!J45"")"),0)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IFERROR(__xludf.DUMMYFUNCTION("IMPORTRANGE(""https://docs.google.com/spreadsheets/d/1SX6NBoVAgQJ6U1MVXOaj8PK2l7WJ3RER9xtqwdhxkhw/edit?usp=sharing"",""สุพรรณบุรี!I46"")"),0)</f>
        <v>0</v>
      </c>
      <c r="J111" s="204">
        <f ca="1">IFERROR(__xludf.DUMMYFUNCTION("IMPORTRANGE(""https://docs.google.com/spreadsheets/d/1SX6NBoVAgQJ6U1MVXOaj8PK2l7WJ3RER9xtqwdhxkhw/edit?usp=sharing"",""สุพรรณบุรี!J46"")"),0)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IFERROR(__xludf.DUMMYFUNCTION("IMPORTRANGE(""https://docs.google.com/spreadsheets/d/1SX6NBoVAgQJ6U1MVXOaj8PK2l7WJ3RER9xtqwdhxkhw/edit?usp=sharing"",""สุพรรณบุรี!I47"")"),0)</f>
        <v>0</v>
      </c>
      <c r="J112" s="204">
        <f ca="1">IFERROR(__xludf.DUMMYFUNCTION("IMPORTRANGE(""https://docs.google.com/spreadsheets/d/1SX6NBoVAgQJ6U1MVXOaj8PK2l7WJ3RER9xtqwdhxkhw/edit?usp=sharing"",""สุพรรณบุรี!J47"")"),0)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IFERROR(__xludf.DUMMYFUNCTION("IMPORTRANGE(""https://docs.google.com/spreadsheets/d/1SX6NBoVAgQJ6U1MVXOaj8PK2l7WJ3RER9xtqwdhxkhw/edit?usp=sharing"",""สุพรรณบุรี!I48"")"),0)</f>
        <v>0</v>
      </c>
      <c r="J113" s="204">
        <f ca="1">IFERROR(__xludf.DUMMYFUNCTION("IMPORTRANGE(""https://docs.google.com/spreadsheets/d/1SX6NBoVAgQJ6U1MVXOaj8PK2l7WJ3RER9xtqwdhxkhw/edit?usp=sharing"",""สุพรรณบุรี!J48"")"),0)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IFERROR(__xludf.DUMMYFUNCTION("IMPORTRANGE(""https://docs.google.com/spreadsheets/d/1SX6NBoVAgQJ6U1MVXOaj8PK2l7WJ3RER9xtqwdhxkhw/edit?usp=sharing"",""สุพรรณบุรี!J49"")"),0)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IFERROR(__xludf.DUMMYFUNCTION("IMPORTRANGE(""https://docs.google.com/spreadsheets/d/1SX6NBoVAgQJ6U1MVXOaj8PK2l7WJ3RER9xtqwdhxkhw/edit?usp=sharing"",""สุพรรณบุรี!J50"")"),0)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IFERROR(__xludf.DUMMYFUNCTION("IMPORTRANGE(""https://docs.google.com/spreadsheets/d/1SX6NBoVAgQJ6U1MVXOaj8PK2l7WJ3RER9xtqwdhxkhw/edit?usp=sharing"",""สุพรรณบุรี!I52"")"),15)</f>
        <v>15</v>
      </c>
      <c r="J117" s="142">
        <f ca="1">IFERROR(__xludf.DUMMYFUNCTION("IMPORTRANGE(""https://docs.google.com/spreadsheets/d/1SX6NBoVAgQJ6U1MVXOaj8PK2l7WJ3RER9xtqwdhxkhw/edit?usp=sharing"",""สุพรรณบุรี!J52"")"),15)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32670</v>
      </c>
      <c r="O118" s="151">
        <f t="shared" ref="O118:O120" ca="1" si="59">IF(L118&gt;0,N118*100/L118,0)</f>
        <v>50.346740638002771</v>
      </c>
      <c r="P118" s="151">
        <f t="shared" ref="P118:P120" ca="1" si="60">IF(M118&gt;0,N118*100/M118,0)</f>
        <v>50.346740638002771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32670</v>
      </c>
      <c r="O120" s="156">
        <f t="shared" ca="1" si="59"/>
        <v>50.346740638002771</v>
      </c>
      <c r="P120" s="156">
        <f t="shared" ca="1" si="60"/>
        <v>50.346740638002771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IFERROR(__xludf.DUMMYFUNCTION("IMPORTRANGE(""https://docs.google.com/spreadsheets/d/1Yj_ptqi66GCucihVvJfMjLAmec39IyEx_6qawtMGysU/edit?usp=sharing"",""สบก!BA78"")"),64890)</f>
        <v>64890</v>
      </c>
      <c r="N122" s="169">
        <f ca="1">IFERROR(__xludf.DUMMYFUNCTION("IMPORTRANGE(""https://docs.google.com/spreadsheets/d/1Yj_ptqi66GCucihVvJfMjLAmec39IyEx_6qawtMGysU/edit?usp=sharing"",""สบก!BB78"")"),32670)</f>
        <v>32670</v>
      </c>
      <c r="O122" s="169">
        <f ca="1">IF(L122&gt;0,N122*100/L122,0)</f>
        <v>50.346740638002771</v>
      </c>
      <c r="P122" s="169">
        <f ca="1">IF(M122&gt;0,N122*100/M122,0)</f>
        <v>50.346740638002771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IFERROR(__xludf.DUMMYFUNCTION("IMPORTRANGE(""https://docs.google.com/spreadsheets/d/1Yj_ptqi66GCucihVvJfMjLAmec39IyEx_6qawtMGysU/edit?usp=sharing"",""สบก!AW78"")"),0)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IFERROR(__xludf.DUMMYFUNCTION("IMPORTRANGE(""https://docs.google.com/spreadsheets/d/1Yj_ptqi66GCucihVvJfMjLAmec39IyEx_6qawtMGysU/edit?usp=sharing"",""สบก!AX78"")"),64890)</f>
        <v>64890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IFERROR(__xludf.DUMMYFUNCTION("IMPORTRANGE(""https://docs.google.com/spreadsheets/d/1Yj_ptqi66GCucihVvJfMjLAmec39IyEx_6qawtMGysU/edit?usp=sharing"",""สบก!AY78"")"),0)</f>
        <v>0</v>
      </c>
      <c r="M126" s="49"/>
      <c r="N126" s="49">
        <f ca="1">IFERROR(__xludf.DUMMYFUNCTION("IMPORTRANGE(""https://docs.google.com/spreadsheets/d/1Yj_ptqi66GCucihVvJfMjLAmec39IyEx_6qawtMGysU/edit?usp=sharing"",""สบก!BC78"")"),0)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277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IFERROR(__xludf.DUMMYFUNCTION("IMPORTRANGE(""https://docs.google.com/spreadsheets/d/1SX6NBoVAgQJ6U1MVXOaj8PK2l7WJ3RER9xtqwdhxkhw/edit?usp=sharing"",""สุพรรณบุรี!J58"")"),0)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IFERROR(__xludf.DUMMYFUNCTION("IMPORTRANGE(""https://docs.google.com/spreadsheets/d/1SX6NBoVAgQJ6U1MVXOaj8PK2l7WJ3RER9xtqwdhxkhw/edit?usp=sharing"",""สุพรรณบุรี!J59"")"),1)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IFERROR(__xludf.DUMMYFUNCTION("IMPORTRANGE(""https://docs.google.com/spreadsheets/d/1SX6NBoVAgQJ6U1MVXOaj8PK2l7WJ3RER9xtqwdhxkhw/edit?usp=sharing"",""สุพรรณบุรี!J60"")"),1)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IFERROR(__xludf.DUMMYFUNCTION("IMPORTRANGE(""https://docs.google.com/spreadsheets/d/1SX6NBoVAgQJ6U1MVXOaj8PK2l7WJ3RER9xtqwdhxkhw/edit?usp=sharing"",""สุพรรณบุรี!J61"")"),1)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IFERROR(__xludf.DUMMYFUNCTION("IMPORTRANGE(""https://docs.google.com/spreadsheets/d/1SX6NBoVAgQJ6U1MVXOaj8PK2l7WJ3RER9xtqwdhxkhw/edit?usp=sharing"",""สุพรรณบุรี!I62"")"),15)</f>
        <v>15</v>
      </c>
      <c r="J132" s="204">
        <f ca="1">IFERROR(__xludf.DUMMYFUNCTION("IMPORTRANGE(""https://docs.google.com/spreadsheets/d/1SX6NBoVAgQJ6U1MVXOaj8PK2l7WJ3RER9xtqwdhxkhw/edit?usp=sharing"",""สุพรรณบุรี!J62"")"),15)</f>
        <v>15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IFERROR(__xludf.DUMMYFUNCTION("IMPORTRANGE(""https://docs.google.com/spreadsheets/d/1SX6NBoVAgQJ6U1MVXOaj8PK2l7WJ3RER9xtqwdhxkhw/edit?usp=sharing"",""สุพรรณบุรี!I63"")"),15)</f>
        <v>15</v>
      </c>
      <c r="J133" s="204">
        <f ca="1">IFERROR(__xludf.DUMMYFUNCTION("IMPORTRANGE(""https://docs.google.com/spreadsheets/d/1SX6NBoVAgQJ6U1MVXOaj8PK2l7WJ3RER9xtqwdhxkhw/edit?usp=sharing"",""สุพรรณบุรี!J63"")"),0)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IFERROR(__xludf.DUMMYFUNCTION("IMPORTRANGE(""https://docs.google.com/spreadsheets/d/1SX6NBoVAgQJ6U1MVXOaj8PK2l7WJ3RER9xtqwdhxkhw/edit?usp=sharing"",""สุพรรณบุรี!J64"")"),0)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IFERROR(__xludf.DUMMYFUNCTION("IMPORTRANGE(""https://docs.google.com/spreadsheets/d/1SX6NBoVAgQJ6U1MVXOaj8PK2l7WJ3RER9xtqwdhxkhw/edit?usp=sharing"",""สุพรรณบุรี!J65"")"),0)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IFERROR(__xludf.DUMMYFUNCTION("IMPORTRANGE(""https://docs.google.com/spreadsheets/d/1SX6NBoVAgQJ6U1MVXOaj8PK2l7WJ3RER9xtqwdhxkhw/edit?usp=sharing"",""สุพรรณบุรี!I68"")"),0)</f>
        <v>0</v>
      </c>
      <c r="J138" s="267">
        <f ca="1">IFERROR(__xludf.DUMMYFUNCTION("IMPORTRANGE(""https://docs.google.com/spreadsheets/d/1SX6NBoVAgQJ6U1MVXOaj8PK2l7WJ3RER9xtqwdhxkhw/edit?usp=sharing"",""สุพรรณบุรี!J68"")"),0)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30500</v>
      </c>
      <c r="M140" s="152">
        <f t="shared" ca="1" si="64"/>
        <v>130755</v>
      </c>
      <c r="N140" s="152">
        <f t="shared" ca="1" si="64"/>
        <v>120880</v>
      </c>
      <c r="O140" s="151">
        <f t="shared" ref="O140:O142" ca="1" si="65">IF(L140&gt;0,N140*100/L140,0)</f>
        <v>396.32786885245901</v>
      </c>
      <c r="P140" s="151">
        <f t="shared" ref="P140:P142" ca="1" si="66">IF(M140&gt;0,N140*100/M140,0)</f>
        <v>92.447707544644558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30500</v>
      </c>
      <c r="M142" s="157">
        <f t="shared" ca="1" si="68"/>
        <v>130755</v>
      </c>
      <c r="N142" s="157">
        <f t="shared" ca="1" si="68"/>
        <v>120880</v>
      </c>
      <c r="O142" s="156">
        <f t="shared" ca="1" si="65"/>
        <v>396.32786885245901</v>
      </c>
      <c r="P142" s="156">
        <f t="shared" ca="1" si="66"/>
        <v>92.447707544644558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30500</v>
      </c>
      <c r="M144" s="168">
        <f ca="1">IFERROR(__xludf.DUMMYFUNCTION("IMPORTRANGE(""https://docs.google.com/spreadsheets/d/1Yj_ptqi66GCucihVvJfMjLAmec39IyEx_6qawtMGysU/edit?usp=sharing"",""สบก!BJ78"")"),130755)</f>
        <v>130755</v>
      </c>
      <c r="N144" s="169">
        <f ca="1">IFERROR(__xludf.DUMMYFUNCTION("IMPORTRANGE(""https://docs.google.com/spreadsheets/d/1Yj_ptqi66GCucihVvJfMjLAmec39IyEx_6qawtMGysU/edit?usp=sharing"",""สบก!BK78"")"),120880)</f>
        <v>120880</v>
      </c>
      <c r="O144" s="169">
        <f ca="1">IF(L144&gt;0,N144*100/L144,0)</f>
        <v>396.32786885245901</v>
      </c>
      <c r="P144" s="169">
        <f ca="1">IF(M144&gt;0,N144*100/M144,0)</f>
        <v>92.447707544644558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IFERROR(__xludf.DUMMYFUNCTION("IMPORTRANGE(""https://docs.google.com/spreadsheets/d/1Yj_ptqi66GCucihVvJfMjLAmec39IyEx_6qawtMGysU/edit?usp=sharing"",""สบก!BF78"")"),0)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IFERROR(__xludf.DUMMYFUNCTION("IMPORTRANGE(""https://docs.google.com/spreadsheets/d/1Yj_ptqi66GCucihVvJfMjLAmec39IyEx_6qawtMGysU/edit?usp=sharing"",""สบก!BG78"")"),30500)</f>
        <v>30500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IFERROR(__xludf.DUMMYFUNCTION("IMPORTRANGE(""https://docs.google.com/spreadsheets/d/1Yj_ptqi66GCucihVvJfMjLAmec39IyEx_6qawtMGysU/edit?usp=sharing"",""สบก!BH78"")"),0)</f>
        <v>0</v>
      </c>
      <c r="M148" s="49"/>
      <c r="N148" s="49">
        <f ca="1">IFERROR(__xludf.DUMMYFUNCTION("IMPORTRANGE(""https://docs.google.com/spreadsheets/d/1Yj_ptqi66GCucihVvJfMjLAmec39IyEx_6qawtMGysU/edit?usp=sharing"",""สบก!BL78"")"),0)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IFERROR(__xludf.DUMMYFUNCTION("IMPORTRANGE(""https://docs.google.com/spreadsheets/d/1SX6NBoVAgQJ6U1MVXOaj8PK2l7WJ3RER9xtqwdhxkhw/edit?usp=sharing"",""สุพรรณบุรี!I74"")"),4)</f>
        <v>4</v>
      </c>
      <c r="J149" s="275">
        <f ca="1">IFERROR(__xludf.DUMMYFUNCTION("IMPORTRANGE(""https://docs.google.com/spreadsheets/d/1SX6NBoVAgQJ6U1MVXOaj8PK2l7WJ3RER9xtqwdhxkhw/edit?usp=sharing"",""สุพรรณบุรี!J74"")"),1)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IFERROR(__xludf.DUMMYFUNCTION("IMPORTRANGE(""https://docs.google.com/spreadsheets/d/1SX6NBoVAgQJ6U1MVXOaj8PK2l7WJ3RER9xtqwdhxkhw/edit?usp=sharing"",""สุพรรณบุรี!J79"")"),0)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IFERROR(__xludf.DUMMYFUNCTION("IMPORTRANGE(""https://docs.google.com/spreadsheets/d/1SX6NBoVAgQJ6U1MVXOaj8PK2l7WJ3RER9xtqwdhxkhw/edit?usp=sharing"",""สุพรรณบุรี!J80"")"),1)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IFERROR(__xludf.DUMMYFUNCTION("IMPORTRANGE(""https://docs.google.com/spreadsheets/d/1SX6NBoVAgQJ6U1MVXOaj8PK2l7WJ3RER9xtqwdhxkhw/edit?usp=sharing"",""สุพรรณบุรี!J81"")"),1)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IFERROR(__xludf.DUMMYFUNCTION("IMPORTRANGE(""https://docs.google.com/spreadsheets/d/1SX6NBoVAgQJ6U1MVXOaj8PK2l7WJ3RER9xtqwdhxkhw/edit?usp=sharing"",""สุพรรณบุรี!J82"")"),0)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IFERROR(__xludf.DUMMYFUNCTION("IMPORTRANGE(""https://docs.google.com/spreadsheets/d/1SX6NBoVAgQJ6U1MVXOaj8PK2l7WJ3RER9xtqwdhxkhw/edit?usp=sharing"",""สุพรรณบุรี!I83"")"),4)</f>
        <v>4</v>
      </c>
      <c r="J158" s="189">
        <f ca="1">IFERROR(__xludf.DUMMYFUNCTION("IMPORTRANGE(""https://docs.google.com/spreadsheets/d/1SX6NBoVAgQJ6U1MVXOaj8PK2l7WJ3RER9xtqwdhxkhw/edit?usp=sharing"",""สุพรรณบุรี!J83"")"),1)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IFERROR(__xludf.DUMMYFUNCTION("IMPORTRANGE(""https://docs.google.com/spreadsheets/d/1SX6NBoVAgQJ6U1MVXOaj8PK2l7WJ3RER9xtqwdhxkhw/edit?usp=sharing"",""สุพรรณบุรี!J84"")"),53)</f>
        <v>53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IFERROR(__xludf.DUMMYFUNCTION("IMPORTRANGE(""https://docs.google.com/spreadsheets/d/1SX6NBoVAgQJ6U1MVXOaj8PK2l7WJ3RER9xtqwdhxkhw/edit?usp=sharing"",""สุพรรณบุรี!J85"")"),53)</f>
        <v>53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IFERROR(__xludf.DUMMYFUNCTION("IMPORTRANGE(""https://docs.google.com/spreadsheets/d/1SX6NBoVAgQJ6U1MVXOaj8PK2l7WJ3RER9xtqwdhxkhw/edit?usp=sharing"",""สุพรรณบุรี!J86"")"),0)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IFERROR(__xludf.DUMMYFUNCTION("IMPORTRANGE(""https://docs.google.com/spreadsheets/d/1SX6NBoVAgQJ6U1MVXOaj8PK2l7WJ3RER9xtqwdhxkhw/edit?usp=sharing"",""สุพรรณบุรี!J87"")"),0)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IFERROR(__xludf.DUMMYFUNCTION("IMPORTRANGE(""https://docs.google.com/spreadsheets/d/1SX6NBoVAgQJ6U1MVXOaj8PK2l7WJ3RER9xtqwdhxkhw/edit?usp=sharing"",""สุพรรณบุรี!J88"")"),0)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IFERROR(__xludf.DUMMYFUNCTION("IMPORTRANGE(""https://docs.google.com/spreadsheets/d/1SX6NBoVAgQJ6U1MVXOaj8PK2l7WJ3RER9xtqwdhxkhw/edit?usp=sharing"",""สุพรรณบุรี!I89"")"),1)</f>
        <v>1</v>
      </c>
      <c r="J164" s="284">
        <f ca="1">IFERROR(__xludf.DUMMYFUNCTION("IMPORTRANGE(""https://docs.google.com/spreadsheets/d/1SX6NBoVAgQJ6U1MVXOaj8PK2l7WJ3RER9xtqwdhxkhw/edit?usp=sharing"",""สุพรรณบุรี!J89"")"),1)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IFERROR(__xludf.DUMMYFUNCTION("IMPORTRANGE(""https://docs.google.com/spreadsheets/d/1SX6NBoVAgQJ6U1MVXOaj8PK2l7WJ3RER9xtqwdhxkhw/edit?usp=sharing"",""สุพรรณบุรี!J94"")"),0)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IFERROR(__xludf.DUMMYFUNCTION("IMPORTRANGE(""https://docs.google.com/spreadsheets/d/1SX6NBoVAgQJ6U1MVXOaj8PK2l7WJ3RER9xtqwdhxkhw/edit?usp=sharing"",""สุพรรณบุรี!J95"")"),1)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IFERROR(__xludf.DUMMYFUNCTION("IMPORTRANGE(""https://docs.google.com/spreadsheets/d/1SX6NBoVAgQJ6U1MVXOaj8PK2l7WJ3RER9xtqwdhxkhw/edit?usp=sharing"",""สุพรรณบุรี!J96"")"),1)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IFERROR(__xludf.DUMMYFUNCTION("IMPORTRANGE(""https://docs.google.com/spreadsheets/d/1SX6NBoVAgQJ6U1MVXOaj8PK2l7WJ3RER9xtqwdhxkhw/edit?usp=sharing"",""สุพรรณบุรี!J97"")"),0)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IFERROR(__xludf.DUMMYFUNCTION("IMPORTRANGE(""https://docs.google.com/spreadsheets/d/1SX6NBoVAgQJ6U1MVXOaj8PK2l7WJ3RER9xtqwdhxkhw/edit?usp=sharing"",""สุพรรณบุรี!I98"")"),1)</f>
        <v>1</v>
      </c>
      <c r="J173" s="189">
        <f ca="1">IFERROR(__xludf.DUMMYFUNCTION("IMPORTRANGE(""https://docs.google.com/spreadsheets/d/1SX6NBoVAgQJ6U1MVXOaj8PK2l7WJ3RER9xtqwdhxkhw/edit?usp=sharing"",""สุพรรณบุรี!J98"")"),1)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IFERROR(__xludf.DUMMYFUNCTION("IMPORTRANGE(""https://docs.google.com/spreadsheets/d/1SX6NBoVAgQJ6U1MVXOaj8PK2l7WJ3RER9xtqwdhxkhw/edit?usp=sharing"",""สุพรรณบุรี!J99"")"),0)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IFERROR(__xludf.DUMMYFUNCTION("IMPORTRANGE(""https://docs.google.com/spreadsheets/d/1SX6NBoVAgQJ6U1MVXOaj8PK2l7WJ3RER9xtqwdhxkhw/edit?usp=sharing"",""สุพรรณบุรี!J100"")"),0)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IFERROR(__xludf.DUMMYFUNCTION("IMPORTRANGE(""https://docs.google.com/spreadsheets/d/1SX6NBoVAgQJ6U1MVXOaj8PK2l7WJ3RER9xtqwdhxkhw/edit?usp=sharing"",""สุพรรณบุรี!I101"")"),0)</f>
        <v>0</v>
      </c>
      <c r="J176" s="284">
        <f ca="1">IFERROR(__xludf.DUMMYFUNCTION("IMPORTRANGE(""https://docs.google.com/spreadsheets/d/1SX6NBoVAgQJ6U1MVXOaj8PK2l7WJ3RER9xtqwdhxkhw/edit?usp=sharing"",""สุพรรณบุรี!J101"")"),0)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IFERROR(__xludf.DUMMYFUNCTION("IMPORTRANGE(""https://docs.google.com/spreadsheets/d/1SX6NBoVAgQJ6U1MVXOaj8PK2l7WJ3RER9xtqwdhxkhw/edit?usp=sharing"",""สุพรรณบุรี!J106"")"),0)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IFERROR(__xludf.DUMMYFUNCTION("IMPORTRANGE(""https://docs.google.com/spreadsheets/d/1SX6NBoVAgQJ6U1MVXOaj8PK2l7WJ3RER9xtqwdhxkhw/edit?usp=sharing"",""สุพรรณบุรี!J107"")"),0)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IFERROR(__xludf.DUMMYFUNCTION("IMPORTRANGE(""https://docs.google.com/spreadsheets/d/1SX6NBoVAgQJ6U1MVXOaj8PK2l7WJ3RER9xtqwdhxkhw/edit?usp=sharing"",""สุพรรณบุรี!J108"")"),0)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IFERROR(__xludf.DUMMYFUNCTION("IMPORTRANGE(""https://docs.google.com/spreadsheets/d/1SX6NBoVAgQJ6U1MVXOaj8PK2l7WJ3RER9xtqwdhxkhw/edit?usp=sharing"",""สุพรรณบุรี!J109"")"),0)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IFERROR(__xludf.DUMMYFUNCTION("IMPORTRANGE(""https://docs.google.com/spreadsheets/d/1SX6NBoVAgQJ6U1MVXOaj8PK2l7WJ3RER9xtqwdhxkhw/edit?usp=sharing"",""สุพรรณบุรี!I110"")"),0)</f>
        <v>0</v>
      </c>
      <c r="J185" s="204">
        <f ca="1">IFERROR(__xludf.DUMMYFUNCTION("IMPORTRANGE(""https://docs.google.com/spreadsheets/d/1SX6NBoVAgQJ6U1MVXOaj8PK2l7WJ3RER9xtqwdhxkhw/edit?usp=sharing"",""สุพรรณบุรี!J110"")"),0)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IFERROR(__xludf.DUMMYFUNCTION("IMPORTRANGE(""https://docs.google.com/spreadsheets/d/1SX6NBoVAgQJ6U1MVXOaj8PK2l7WJ3RER9xtqwdhxkhw/edit?usp=sharing"",""สุพรรณบุรี!I111"")"),0)</f>
        <v>0</v>
      </c>
      <c r="J186" s="204">
        <f ca="1">IFERROR(__xludf.DUMMYFUNCTION("IMPORTRANGE(""https://docs.google.com/spreadsheets/d/1SX6NBoVAgQJ6U1MVXOaj8PK2l7WJ3RER9xtqwdhxkhw/edit?usp=sharing"",""สุพรรณบุรี!J111"")"),0)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IFERROR(__xludf.DUMMYFUNCTION("IMPORTRANGE(""https://docs.google.com/spreadsheets/d/1SX6NBoVAgQJ6U1MVXOaj8PK2l7WJ3RER9xtqwdhxkhw/edit?usp=sharing"",""สุพรรณบุรี!J112"")"),0)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IFERROR(__xludf.DUMMYFUNCTION("IMPORTRANGE(""https://docs.google.com/spreadsheets/d/1SX6NBoVAgQJ6U1MVXOaj8PK2l7WJ3RER9xtqwdhxkhw/edit?usp=sharing"",""สุพรรณบุรี!J113"")"),0)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IFERROR(__xludf.DUMMYFUNCTION("IMPORTRANGE(""https://docs.google.com/spreadsheets/d/1SX6NBoVAgQJ6U1MVXOaj8PK2l7WJ3RER9xtqwdhxkhw/edit?usp=sharing"",""สุพรรณบุรี!I114"")"),20000)</f>
        <v>20000</v>
      </c>
      <c r="J189" s="284">
        <f ca="1">IFERROR(__xludf.DUMMYFUNCTION("IMPORTRANGE(""https://docs.google.com/spreadsheets/d/1SX6NBoVAgQJ6U1MVXOaj8PK2l7WJ3RER9xtqwdhxkhw/edit?usp=sharing"",""สุพรรณบุรี!J114"")"),0)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IFERROR(__xludf.DUMMYFUNCTION("IMPORTRANGE(""https://docs.google.com/spreadsheets/d/1SX6NBoVAgQJ6U1MVXOaj8PK2l7WJ3RER9xtqwdhxkhw/edit?usp=sharing"",""สุพรรณบุรี!J119"")"),0)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IFERROR(__xludf.DUMMYFUNCTION("IMPORTRANGE(""https://docs.google.com/spreadsheets/d/1SX6NBoVAgQJ6U1MVXOaj8PK2l7WJ3RER9xtqwdhxkhw/edit?usp=sharing"",""สุพรรณบุรี!J120"")"),1)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IFERROR(__xludf.DUMMYFUNCTION("IMPORTRANGE(""https://docs.google.com/spreadsheets/d/1SX6NBoVAgQJ6U1MVXOaj8PK2l7WJ3RER9xtqwdhxkhw/edit?usp=sharing"",""สุพรรณบุรี!J121"")"),1)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IFERROR(__xludf.DUMMYFUNCTION("IMPORTRANGE(""https://docs.google.com/spreadsheets/d/1SX6NBoVAgQJ6U1MVXOaj8PK2l7WJ3RER9xtqwdhxkhw/edit?usp=sharing"",""สุพรรณบุรี!J122"")"),0)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IFERROR(__xludf.DUMMYFUNCTION("IMPORTRANGE(""https://docs.google.com/spreadsheets/d/1SX6NBoVAgQJ6U1MVXOaj8PK2l7WJ3RER9xtqwdhxkhw/edit?usp=sharing"",""สุพรรณบุรี!I124"")"),20000)</f>
        <v>20000</v>
      </c>
      <c r="J199" s="189">
        <f ca="1">IFERROR(__xludf.DUMMYFUNCTION("IMPORTRANGE(""https://docs.google.com/spreadsheets/d/1SX6NBoVAgQJ6U1MVXOaj8PK2l7WJ3RER9xtqwdhxkhw/edit?usp=sharing"",""สุพรรณบุรี!J124"")"),20000)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IFERROR(__xludf.DUMMYFUNCTION("IMPORTRANGE(""https://docs.google.com/spreadsheets/d/1SX6NBoVAgQJ6U1MVXOaj8PK2l7WJ3RER9xtqwdhxkhw/edit?usp=sharing"",""สุพรรณบุรี!I125"")"),20000)</f>
        <v>20000</v>
      </c>
      <c r="J200" s="189">
        <f ca="1">IFERROR(__xludf.DUMMYFUNCTION("IMPORTRANGE(""https://docs.google.com/spreadsheets/d/1SX6NBoVAgQJ6U1MVXOaj8PK2l7WJ3RER9xtqwdhxkhw/edit?usp=sharing"",""สุพรรณบุรี!J125"")"),0)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IFERROR(__xludf.DUMMYFUNCTION("IMPORTRANGE(""https://docs.google.com/spreadsheets/d/1SX6NBoVAgQJ6U1MVXOaj8PK2l7WJ3RER9xtqwdhxkhw/edit?usp=sharing"",""สุพรรณบุรี!I126"")"),0)</f>
        <v>0</v>
      </c>
      <c r="J201" s="189">
        <f ca="1">IFERROR(__xludf.DUMMYFUNCTION("IMPORTRANGE(""https://docs.google.com/spreadsheets/d/1SX6NBoVAgQJ6U1MVXOaj8PK2l7WJ3RER9xtqwdhxkhw/edit?usp=sharing"",""สุพรรณบุรี!J126"")"),0)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IFERROR(__xludf.DUMMYFUNCTION("IMPORTRANGE(""https://docs.google.com/spreadsheets/d/1SX6NBoVAgQJ6U1MVXOaj8PK2l7WJ3RER9xtqwdhxkhw/edit?usp=sharing"",""สุพรรณบุรี!J127"")"),0)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IFERROR(__xludf.DUMMYFUNCTION("IMPORTRANGE(""https://docs.google.com/spreadsheets/d/1SX6NBoVAgQJ6U1MVXOaj8PK2l7WJ3RER9xtqwdhxkhw/edit?usp=sharing"",""สุพรรณบุรี!J128"")"),0)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IFERROR(__xludf.DUMMYFUNCTION("IMPORTRANGE(""https://docs.google.com/spreadsheets/d/1SX6NBoVAgQJ6U1MVXOaj8PK2l7WJ3RER9xtqwdhxkhw/edit?usp=sharing"",""สุพรรณบุรี!I129"")"),0)</f>
        <v>0</v>
      </c>
      <c r="J204" s="284">
        <f ca="1">IFERROR(__xludf.DUMMYFUNCTION("IMPORTRANGE(""https://docs.google.com/spreadsheets/d/1SX6NBoVAgQJ6U1MVXOaj8PK2l7WJ3RER9xtqwdhxkhw/edit?usp=sharing"",""สุพรรณบุรี!J129"")"),0)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IFERROR(__xludf.DUMMYFUNCTION("IMPORTRANGE(""https://docs.google.com/spreadsheets/d/1SX6NBoVAgQJ6U1MVXOaj8PK2l7WJ3RER9xtqwdhxkhw/edit?usp=sharing"",""สุพรรณบุรี!J134"")"),0)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IFERROR(__xludf.DUMMYFUNCTION("IMPORTRANGE(""https://docs.google.com/spreadsheets/d/1SX6NBoVAgQJ6U1MVXOaj8PK2l7WJ3RER9xtqwdhxkhw/edit?usp=sharing"",""สุพรรณบุรี!J135"")"),0)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IFERROR(__xludf.DUMMYFUNCTION("IMPORTRANGE(""https://docs.google.com/spreadsheets/d/1SX6NBoVAgQJ6U1MVXOaj8PK2l7WJ3RER9xtqwdhxkhw/edit?usp=sharing"",""สุพรรณบุรี!J136"")"),0)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IFERROR(__xludf.DUMMYFUNCTION("IMPORTRANGE(""https://docs.google.com/spreadsheets/d/1SX6NBoVAgQJ6U1MVXOaj8PK2l7WJ3RER9xtqwdhxkhw/edit?usp=sharing"",""สุพรรณบุรี!J137"")"),0)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IFERROR(__xludf.DUMMYFUNCTION("IMPORTRANGE(""https://docs.google.com/spreadsheets/d/1SX6NBoVAgQJ6U1MVXOaj8PK2l7WJ3RER9xtqwdhxkhw/edit?usp=sharing"",""สุพรรณบุรี!I138"")"),0)</f>
        <v>0</v>
      </c>
      <c r="J213" s="204">
        <f ca="1">IFERROR(__xludf.DUMMYFUNCTION("IMPORTRANGE(""https://docs.google.com/spreadsheets/d/1SX6NBoVAgQJ6U1MVXOaj8PK2l7WJ3RER9xtqwdhxkhw/edit?usp=sharing"",""สุพรรณบุรี!J138"")"),0)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IFERROR(__xludf.DUMMYFUNCTION("IMPORTRANGE(""https://docs.google.com/spreadsheets/d/1SX6NBoVAgQJ6U1MVXOaj8PK2l7WJ3RER9xtqwdhxkhw/edit?usp=sharing"",""สุพรรณบุรี!I140"")"),0)</f>
        <v>0</v>
      </c>
      <c r="J215" s="204">
        <f ca="1">IFERROR(__xludf.DUMMYFUNCTION("IMPORTRANGE(""https://docs.google.com/spreadsheets/d/1SX6NBoVAgQJ6U1MVXOaj8PK2l7WJ3RER9xtqwdhxkhw/edit?usp=sharing"",""สุพรรณบุรี!J140"")"),0)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IFERROR(__xludf.DUMMYFUNCTION("IMPORTRANGE(""https://docs.google.com/spreadsheets/d/1SX6NBoVAgQJ6U1MVXOaj8PK2l7WJ3RER9xtqwdhxkhw/edit?usp=sharing"",""สุพรรณบุรี!I141"")"),0)</f>
        <v>0</v>
      </c>
      <c r="J216" s="204">
        <f ca="1">IFERROR(__xludf.DUMMYFUNCTION("IMPORTRANGE(""https://docs.google.com/spreadsheets/d/1SX6NBoVAgQJ6U1MVXOaj8PK2l7WJ3RER9xtqwdhxkhw/edit?usp=sharing"",""สุพรรณบุรี!J141"")"),0)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IFERROR(__xludf.DUMMYFUNCTION("IMPORTRANGE(""https://docs.google.com/spreadsheets/d/1SX6NBoVAgQJ6U1MVXOaj8PK2l7WJ3RER9xtqwdhxkhw/edit?usp=sharing"",""สุพรรณบุรี!J142"")"),0)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IFERROR(__xludf.DUMMYFUNCTION("IMPORTRANGE(""https://docs.google.com/spreadsheets/d/1SX6NBoVAgQJ6U1MVXOaj8PK2l7WJ3RER9xtqwdhxkhw/edit?usp=sharing"",""สุพรรณบุรี!J143"")"),0)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IFERROR(__xludf.DUMMYFUNCTION("IMPORTRANGE(""https://docs.google.com/spreadsheets/d/1SX6NBoVAgQJ6U1MVXOaj8PK2l7WJ3RER9xtqwdhxkhw/edit?usp=sharing"",""สุพรรณบุรี!I144"")"),15)</f>
        <v>15</v>
      </c>
      <c r="J219" s="267">
        <f ca="1">IFERROR(__xludf.DUMMYFUNCTION("IMPORTRANGE(""https://docs.google.com/spreadsheets/d/1SX6NBoVAgQJ6U1MVXOaj8PK2l7WJ3RER9xtqwdhxkhw/edit?usp=sharing"",""สุพรรณบุรี!J144"")"),15)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IFERROR(__xludf.DUMMYFUNCTION("IMPORTRANGE(""https://docs.google.com/spreadsheets/d/1Yj_ptqi66GCucihVvJfMjLAmec39IyEx_6qawtMGysU/edit?usp=sharing"",""สบก!BS78"")"),21125)</f>
        <v>21125</v>
      </c>
      <c r="N224" s="169">
        <f ca="1">IFERROR(__xludf.DUMMYFUNCTION("IMPORTRANGE(""https://docs.google.com/spreadsheets/d/1Yj_ptqi66GCucihVvJfMjLAmec39IyEx_6qawtMGysU/edit?usp=sharing"",""สบก!BT78"")"),21125)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IFERROR(__xludf.DUMMYFUNCTION("IMPORTRANGE(""https://docs.google.com/spreadsheets/d/1Yj_ptqi66GCucihVvJfMjLAmec39IyEx_6qawtMGysU/edit?usp=sharing"",""สบก!BO78"")"),0)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IFERROR(__xludf.DUMMYFUNCTION("IMPORTRANGE(""https://docs.google.com/spreadsheets/d/1Yj_ptqi66GCucihVvJfMjLAmec39IyEx_6qawtMGysU/edit?usp=sharing"",""สบก!BP78"")"),21125)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IFERROR(__xludf.DUMMYFUNCTION("IMPORTRANGE(""https://docs.google.com/spreadsheets/d/1Yj_ptqi66GCucihVvJfMjLAmec39IyEx_6qawtMGysU/edit?usp=sharing"",""สบก!BQ78"")"),0)</f>
        <v>0</v>
      </c>
      <c r="M228" s="49"/>
      <c r="N228" s="49">
        <f ca="1">IFERROR(__xludf.DUMMYFUNCTION("IMPORTRANGE(""https://docs.google.com/spreadsheets/d/1Yj_ptqi66GCucihVvJfMjLAmec39IyEx_6qawtMGysU/edit?usp=sharing"",""สบก!BU78"")"),0)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IFERROR(__xludf.DUMMYFUNCTION("IMPORTRANGE(""https://docs.google.com/spreadsheets/d/1SX6NBoVAgQJ6U1MVXOaj8PK2l7WJ3RER9xtqwdhxkhw/edit?usp=sharing"",""สุพรรณบุรี!I149"")"),15)</f>
        <v>15</v>
      </c>
      <c r="J229" s="267">
        <f ca="1">IFERROR(__xludf.DUMMYFUNCTION("IMPORTRANGE(""https://docs.google.com/spreadsheets/d/1SX6NBoVAgQJ6U1MVXOaj8PK2l7WJ3RER9xtqwdhxkhw/edit?usp=sharing"",""สุพรรณบุรี!J149"")"),15)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IFERROR(__xludf.DUMMYFUNCTION("IMPORTRANGE(""https://docs.google.com/spreadsheets/d/1SX6NBoVAgQJ6U1MVXOaj8PK2l7WJ3RER9xtqwdhxkhw/edit?usp=sharing"",""สุพรรณบุรี!J151"")"),0)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IFERROR(__xludf.DUMMYFUNCTION("IMPORTRANGE(""https://docs.google.com/spreadsheets/d/1SX6NBoVAgQJ6U1MVXOaj8PK2l7WJ3RER9xtqwdhxkhw/edit?usp=sharing"",""สุพรรณบุรี!J152"")"),1)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IFERROR(__xludf.DUMMYFUNCTION("IMPORTRANGE(""https://docs.google.com/spreadsheets/d/1SX6NBoVAgQJ6U1MVXOaj8PK2l7WJ3RER9xtqwdhxkhw/edit?usp=sharing"",""สุพรรณบุรี!J153"")"),1)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IFERROR(__xludf.DUMMYFUNCTION("IMPORTRANGE(""https://docs.google.com/spreadsheets/d/1SX6NBoVAgQJ6U1MVXOaj8PK2l7WJ3RER9xtqwdhxkhw/edit?usp=sharing"",""สุพรรณบุรี!J154"")"),1)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IFERROR(__xludf.DUMMYFUNCTION("IMPORTRANGE(""https://docs.google.com/spreadsheets/d/1SX6NBoVAgQJ6U1MVXOaj8PK2l7WJ3RER9xtqwdhxkhw/edit?usp=sharing"",""สุพรรณบุรี!I155"")"),15)</f>
        <v>15</v>
      </c>
      <c r="J235" s="189">
        <f ca="1">IFERROR(__xludf.DUMMYFUNCTION("IMPORTRANGE(""https://docs.google.com/spreadsheets/d/1SX6NBoVAgQJ6U1MVXOaj8PK2l7WJ3RER9xtqwdhxkhw/edit?usp=sharing"",""สุพรรณบุรี!J155"")"),15)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IFERROR(__xludf.DUMMYFUNCTION("IMPORTRANGE(""https://docs.google.com/spreadsheets/d/1SX6NBoVAgQJ6U1MVXOaj8PK2l7WJ3RER9xtqwdhxkhw/edit?usp=sharing"",""สุพรรณบุรี!J156"")"),0)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IFERROR(__xludf.DUMMYFUNCTION("IMPORTRANGE(""https://docs.google.com/spreadsheets/d/1SX6NBoVAgQJ6U1MVXOaj8PK2l7WJ3RER9xtqwdhxkhw/edit?usp=sharing"",""สุพรรณบุรี!J157"")"),0)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IFERROR(__xludf.DUMMYFUNCTION("IMPORTRANGE(""https://docs.google.com/spreadsheets/d/1SX6NBoVAgQJ6U1MVXOaj8PK2l7WJ3RER9xtqwdhxkhw/edit?usp=sharing"",""สุพรรณบุรี!I158"")"),0)</f>
        <v>0</v>
      </c>
      <c r="J238" s="267">
        <f ca="1">IFERROR(__xludf.DUMMYFUNCTION("IMPORTRANGE(""https://docs.google.com/spreadsheets/d/1SX6NBoVAgQJ6U1MVXOaj8PK2l7WJ3RER9xtqwdhxkhw/edit?usp=sharing"",""สุพรรณบุรี!J158"")"),0)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IFERROR(__xludf.DUMMYFUNCTION("IMPORTRANGE(""https://docs.google.com/spreadsheets/d/1SX6NBoVAgQJ6U1MVXOaj8PK2l7WJ3RER9xtqwdhxkhw/edit?usp=sharing"",""สุพรรณบุรี!J159"")"),"")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IFERROR(__xludf.DUMMYFUNCTION("IMPORTRANGE(""https://docs.google.com/spreadsheets/d/1SX6NBoVAgQJ6U1MVXOaj8PK2l7WJ3RER9xtqwdhxkhw/edit?usp=sharing"",""สุพรรณบุรี!J161"")"),0)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IFERROR(__xludf.DUMMYFUNCTION("IMPORTRANGE(""https://docs.google.com/spreadsheets/d/1SX6NBoVAgQJ6U1MVXOaj8PK2l7WJ3RER9xtqwdhxkhw/edit?usp=sharing"",""สุพรรณบุรี!J162"")"),0)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IFERROR(__xludf.DUMMYFUNCTION("IMPORTRANGE(""https://docs.google.com/spreadsheets/d/1SX6NBoVAgQJ6U1MVXOaj8PK2l7WJ3RER9xtqwdhxkhw/edit?usp=sharing"",""สุพรรณบุรี!J163"")"),0)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IFERROR(__xludf.DUMMYFUNCTION("IMPORTRANGE(""https://docs.google.com/spreadsheets/d/1SX6NBoVAgQJ6U1MVXOaj8PK2l7WJ3RER9xtqwdhxkhw/edit?usp=sharing"",""สุพรรณบุรี!I164"")"),0)</f>
        <v>0</v>
      </c>
      <c r="J244" s="188">
        <f ca="1">IFERROR(__xludf.DUMMYFUNCTION("IMPORTRANGE(""https://docs.google.com/spreadsheets/d/1SX6NBoVAgQJ6U1MVXOaj8PK2l7WJ3RER9xtqwdhxkhw/edit?usp=sharing"",""สุพรรณบุรี!J164"")"),0)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IFERROR(__xludf.DUMMYFUNCTION("IMPORTRANGE(""https://docs.google.com/spreadsheets/d/1SX6NBoVAgQJ6U1MVXOaj8PK2l7WJ3RER9xtqwdhxkhw/edit?usp=sharing"",""สุพรรณบุรี!J165"")"),0)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IFERROR(__xludf.DUMMYFUNCTION("IMPORTRANGE(""https://docs.google.com/spreadsheets/d/1SX6NBoVAgQJ6U1MVXOaj8PK2l7WJ3RER9xtqwdhxkhw/edit?usp=sharing"",""สุพรรณบุรี!J166"")"),0)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IFERROR(__xludf.DUMMYFUNCTION("IMPORTRANGE(""https://docs.google.com/spreadsheets/d/1SX6NBoVAgQJ6U1MVXOaj8PK2l7WJ3RER9xtqwdhxkhw/edit?usp=sharing"",""สุพรรณบุรี!I169"")"),20)</f>
        <v>20</v>
      </c>
      <c r="J249" s="316">
        <f ca="1">IFERROR(__xludf.DUMMYFUNCTION("IMPORTRANGE(""https://docs.google.com/spreadsheets/d/1SX6NBoVAgQJ6U1MVXOaj8PK2l7WJ3RER9xtqwdhxkhw/edit?usp=sharing"",""สุพรรณบุรี!J169"")"),20)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40140</v>
      </c>
      <c r="O250" s="151">
        <f t="shared" ref="O250:O252" ca="1" si="78">IF(L250&gt;0,N250*100/L250,0)</f>
        <v>56.218487394957982</v>
      </c>
      <c r="P250" s="151">
        <f t="shared" ref="P250:P252" ca="1" si="79">IF(M250&gt;0,N250*100/M250,0)</f>
        <v>95.571428571428569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40140</v>
      </c>
      <c r="O252" s="156">
        <f t="shared" ca="1" si="78"/>
        <v>56.218487394957982</v>
      </c>
      <c r="P252" s="156">
        <f t="shared" ca="1" si="79"/>
        <v>95.571428571428569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IFERROR(__xludf.DUMMYFUNCTION("IMPORTRANGE(""https://docs.google.com/spreadsheets/d/1Yj_ptqi66GCucihVvJfMjLAmec39IyEx_6qawtMGysU/edit?usp=sharing"",""สบก!CB78"")"),42000)</f>
        <v>42000</v>
      </c>
      <c r="N254" s="169">
        <f ca="1">IFERROR(__xludf.DUMMYFUNCTION("IMPORTRANGE(""https://docs.google.com/spreadsheets/d/1Yj_ptqi66GCucihVvJfMjLAmec39IyEx_6qawtMGysU/edit?usp=sharing"",""สบก!CC78"")"),40140)</f>
        <v>40140</v>
      </c>
      <c r="O254" s="169">
        <f ca="1">IF(L254&gt;0,N254*100/L254,0)</f>
        <v>56.218487394957982</v>
      </c>
      <c r="P254" s="169">
        <f ca="1">IF(M254&gt;0,N254*100/M254,0)</f>
        <v>95.571428571428569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IFERROR(__xludf.DUMMYFUNCTION("IMPORTRANGE(""https://docs.google.com/spreadsheets/d/1Yj_ptqi66GCucihVvJfMjLAmec39IyEx_6qawtMGysU/edit?usp=sharing"",""สบก!BX78"")"),0)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IFERROR(__xludf.DUMMYFUNCTION("IMPORTRANGE(""https://docs.google.com/spreadsheets/d/1Yj_ptqi66GCucihVvJfMjLAmec39IyEx_6qawtMGysU/edit?usp=sharing"",""สบก!BY78"")"),71400)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IFERROR(__xludf.DUMMYFUNCTION("IMPORTRANGE(""https://docs.google.com/spreadsheets/d/1Yj_ptqi66GCucihVvJfMjLAmec39IyEx_6qawtMGysU/edit?usp=sharing"",""สบก!BZ78"")"),0)</f>
        <v>0</v>
      </c>
      <c r="M258" s="49"/>
      <c r="N258" s="49">
        <f ca="1">IFERROR(__xludf.DUMMYFUNCTION("IMPORTRANGE(""https://docs.google.com/spreadsheets/d/1Yj_ptqi66GCucihVvJfMjLAmec39IyEx_6qawtMGysU/edit?usp=sharing"",""สบก!CD78"")"),0)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IFERROR(__xludf.DUMMYFUNCTION("IMPORTRANGE(""https://docs.google.com/spreadsheets/d/1SX6NBoVAgQJ6U1MVXOaj8PK2l7WJ3RER9xtqwdhxkhw/edit?usp=sharing"",""สุพรรณบุรี!J175"")"),0)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IFERROR(__xludf.DUMMYFUNCTION("IMPORTRANGE(""https://docs.google.com/spreadsheets/d/1SX6NBoVAgQJ6U1MVXOaj8PK2l7WJ3RER9xtqwdhxkhw/edit?usp=sharing"",""สุพรรณบุรี!J176"")"),1)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IFERROR(__xludf.DUMMYFUNCTION("IMPORTRANGE(""https://docs.google.com/spreadsheets/d/1SX6NBoVAgQJ6U1MVXOaj8PK2l7WJ3RER9xtqwdhxkhw/edit?usp=sharing"",""สุพรรณบุรี!J177"")"),1)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IFERROR(__xludf.DUMMYFUNCTION("IMPORTRANGE(""https://docs.google.com/spreadsheets/d/1SX6NBoVAgQJ6U1MVXOaj8PK2l7WJ3RER9xtqwdhxkhw/edit?usp=sharing"",""สุพรรณบุรี!J178"")"),1)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IFERROR(__xludf.DUMMYFUNCTION("IMPORTRANGE(""https://docs.google.com/spreadsheets/d/1SX6NBoVAgQJ6U1MVXOaj8PK2l7WJ3RER9xtqwdhxkhw/edit?usp=sharing"",""สุพรรณบุรี!I179"")"),1)</f>
        <v>1</v>
      </c>
      <c r="J264" s="189">
        <f ca="1">IFERROR(__xludf.DUMMYFUNCTION("IMPORTRANGE(""https://docs.google.com/spreadsheets/d/1SX6NBoVAgQJ6U1MVXOaj8PK2l7WJ3RER9xtqwdhxkhw/edit?usp=sharing"",""สุพรรณบุรี!J179"")"),1)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IFERROR(__xludf.DUMMYFUNCTION("IMPORTRANGE(""https://docs.google.com/spreadsheets/d/1SX6NBoVAgQJ6U1MVXOaj8PK2l7WJ3RER9xtqwdhxkhw/edit?usp=sharing"",""สุพรรณบุรี!I180"")"),20)</f>
        <v>20</v>
      </c>
      <c r="J265" s="189">
        <f ca="1">IFERROR(__xludf.DUMMYFUNCTION("IMPORTRANGE(""https://docs.google.com/spreadsheets/d/1SX6NBoVAgQJ6U1MVXOaj8PK2l7WJ3RER9xtqwdhxkhw/edit?usp=sharing"",""สุพรรณบุรี!J180"")"),20)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IFERROR(__xludf.DUMMYFUNCTION("IMPORTRANGE(""https://docs.google.com/spreadsheets/d/1SX6NBoVAgQJ6U1MVXOaj8PK2l7WJ3RER9xtqwdhxkhw/edit?usp=sharing"",""สุพรรณบุรี!I181"")"),20)</f>
        <v>20</v>
      </c>
      <c r="J266" s="189">
        <f ca="1">IFERROR(__xludf.DUMMYFUNCTION("IMPORTRANGE(""https://docs.google.com/spreadsheets/d/1SX6NBoVAgQJ6U1MVXOaj8PK2l7WJ3RER9xtqwdhxkhw/edit?usp=sharing"",""สุพรรณบุรี!J181"")"),0)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IFERROR(__xludf.DUMMYFUNCTION("IMPORTRANGE(""https://docs.google.com/spreadsheets/d/1SX6NBoVAgQJ6U1MVXOaj8PK2l7WJ3RER9xtqwdhxkhw/edit?usp=sharing"",""สุพรรณบุรี!I182"")"),1)</f>
        <v>1</v>
      </c>
      <c r="J267" s="189">
        <f ca="1">IFERROR(__xludf.DUMMYFUNCTION("IMPORTRANGE(""https://docs.google.com/spreadsheets/d/1SX6NBoVAgQJ6U1MVXOaj8PK2l7WJ3RER9xtqwdhxkhw/edit?usp=sharing"",""สุพรรณบุรี!J182"")"),1)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IFERROR(__xludf.DUMMYFUNCTION("IMPORTRANGE(""https://docs.google.com/spreadsheets/d/1SX6NBoVAgQJ6U1MVXOaj8PK2l7WJ3RER9xtqwdhxkhw/edit?usp=sharing"",""สุพรรณบุรี!J183"")"),0)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IFERROR(__xludf.DUMMYFUNCTION("IMPORTRANGE(""https://docs.google.com/spreadsheets/d/1SX6NBoVAgQJ6U1MVXOaj8PK2l7WJ3RER9xtqwdhxkhw/edit?usp=sharing"",""สุพรรณบุรี!J184"")"),0)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IFERROR(__xludf.DUMMYFUNCTION("IMPORTRANGE(""https://docs.google.com/spreadsheets/d/1SX6NBoVAgQJ6U1MVXOaj8PK2l7WJ3RER9xtqwdhxkhw/edit?usp=sharing"",""สุพรรณบุรี!I185"")"),15)</f>
        <v>15</v>
      </c>
      <c r="J270" s="316">
        <f ca="1">IFERROR(__xludf.DUMMYFUNCTION("IMPORTRANGE(""https://docs.google.com/spreadsheets/d/1SX6NBoVAgQJ6U1MVXOaj8PK2l7WJ3RER9xtqwdhxkhw/edit?usp=sharing"",""สุพรรณบุรี!J185"")"),15)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74159</v>
      </c>
      <c r="O271" s="151">
        <f t="shared" ref="O271:O273" ca="1" si="84">IF(L271&gt;0,N271*100/L271,0)</f>
        <v>70.159886471144745</v>
      </c>
      <c r="P271" s="151">
        <f t="shared" ref="P271:P273" ca="1" si="85">IF(M271&gt;0,N271*100/M271,0)</f>
        <v>92.698750000000004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105700</v>
      </c>
      <c r="M273" s="157">
        <f t="shared" ca="1" si="87"/>
        <v>80000</v>
      </c>
      <c r="N273" s="157">
        <f t="shared" ca="1" si="87"/>
        <v>74159</v>
      </c>
      <c r="O273" s="156">
        <f t="shared" ca="1" si="84"/>
        <v>70.159886471144745</v>
      </c>
      <c r="P273" s="156">
        <f t="shared" ca="1" si="85"/>
        <v>92.698750000000004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105700</v>
      </c>
      <c r="M275" s="168">
        <f ca="1">IFERROR(__xludf.DUMMYFUNCTION("IMPORTRANGE(""https://docs.google.com/spreadsheets/d/1Yj_ptqi66GCucihVvJfMjLAmec39IyEx_6qawtMGysU/edit?usp=sharing"",""สบก!CK78"")"),80000)</f>
        <v>80000</v>
      </c>
      <c r="N275" s="169">
        <f ca="1">IFERROR(__xludf.DUMMYFUNCTION("IMPORTRANGE(""https://docs.google.com/spreadsheets/d/1Yj_ptqi66GCucihVvJfMjLAmec39IyEx_6qawtMGysU/edit?usp=sharing"",""สบก!CL78"")"),74159)</f>
        <v>74159</v>
      </c>
      <c r="O275" s="169">
        <f ca="1">IF(L275&gt;0,N275*100/L275,0)</f>
        <v>70.159886471144745</v>
      </c>
      <c r="P275" s="169">
        <f ca="1">IF(M275&gt;0,N275*100/M275,0)</f>
        <v>92.698750000000004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IFERROR(__xludf.DUMMYFUNCTION("IMPORTRANGE(""https://docs.google.com/spreadsheets/d/1Yj_ptqi66GCucihVvJfMjLAmec39IyEx_6qawtMGysU/edit?usp=sharing"",""สบก!CG78"")"),0)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IFERROR(__xludf.DUMMYFUNCTION("IMPORTRANGE(""https://docs.google.com/spreadsheets/d/1Yj_ptqi66GCucihVvJfMjLAmec39IyEx_6qawtMGysU/edit?usp=sharing"",""สบก!CH78"")"),105700)</f>
        <v>105700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IFERROR(__xludf.DUMMYFUNCTION("IMPORTRANGE(""https://docs.google.com/spreadsheets/d/1Yj_ptqi66GCucihVvJfMjLAmec39IyEx_6qawtMGysU/edit?usp=sharing"",""สบก!CI78"")"),0)</f>
        <v>0</v>
      </c>
      <c r="M279" s="49"/>
      <c r="N279" s="49">
        <f ca="1">IFERROR(__xludf.DUMMYFUNCTION("IMPORTRANGE(""https://docs.google.com/spreadsheets/d/1Yj_ptqi66GCucihVvJfMjLAmec39IyEx_6qawtMGysU/edit?usp=sharing"",""สบก!CM78"")"),0)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IFERROR(__xludf.DUMMYFUNCTION("IMPORTRANGE(""https://docs.google.com/spreadsheets/d/1SX6NBoVAgQJ6U1MVXOaj8PK2l7WJ3RER9xtqwdhxkhw/edit?usp=sharing"",""สุพรรณบุรี!J191"")"),0)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IFERROR(__xludf.DUMMYFUNCTION("IMPORTRANGE(""https://docs.google.com/spreadsheets/d/1SX6NBoVAgQJ6U1MVXOaj8PK2l7WJ3RER9xtqwdhxkhw/edit?usp=sharing"",""สุพรรณบุรี!J192"")"),1)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IFERROR(__xludf.DUMMYFUNCTION("IMPORTRANGE(""https://docs.google.com/spreadsheets/d/1SX6NBoVAgQJ6U1MVXOaj8PK2l7WJ3RER9xtqwdhxkhw/edit?usp=sharing"",""สุพรรณบุรี!J193"")"),1)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IFERROR(__xludf.DUMMYFUNCTION("IMPORTRANGE(""https://docs.google.com/spreadsheets/d/1SX6NBoVAgQJ6U1MVXOaj8PK2l7WJ3RER9xtqwdhxkhw/edit?usp=sharing"",""สุพรรณบุรี!J194"")"),1)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IFERROR(__xludf.DUMMYFUNCTION("IMPORTRANGE(""https://docs.google.com/spreadsheets/d/1SX6NBoVAgQJ6U1MVXOaj8PK2l7WJ3RER9xtqwdhxkhw/edit?usp=sharing"",""สุพรรณบุรี!I195"")"),15)</f>
        <v>15</v>
      </c>
      <c r="J285" s="189">
        <f ca="1">IFERROR(__xludf.DUMMYFUNCTION("IMPORTRANGE(""https://docs.google.com/spreadsheets/d/1SX6NBoVAgQJ6U1MVXOaj8PK2l7WJ3RER9xtqwdhxkhw/edit?usp=sharing"",""สุพรรณบุรี!J195"")"),15)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IFERROR(__xludf.DUMMYFUNCTION("IMPORTRANGE(""https://docs.google.com/spreadsheets/d/1SX6NBoVAgQJ6U1MVXOaj8PK2l7WJ3RER9xtqwdhxkhw/edit?usp=sharing"",""สุพรรณบุรี!J196"")"),0)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IFERROR(__xludf.DUMMYFUNCTION("IMPORTRANGE(""https://docs.google.com/spreadsheets/d/1SX6NBoVAgQJ6U1MVXOaj8PK2l7WJ3RER9xtqwdhxkhw/edit?usp=sharing"",""สุพรรณบุรี!J197"")"),0)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IFERROR(__xludf.DUMMYFUNCTION("IMPORTRANGE(""https://docs.google.com/spreadsheets/d/1SX6NBoVAgQJ6U1MVXOaj8PK2l7WJ3RER9xtqwdhxkhw/edit?usp=sharing"",""สุพรรณบุรี!I199"")"),0)</f>
        <v>0</v>
      </c>
      <c r="J289" s="316">
        <f ca="1">IFERROR(__xludf.DUMMYFUNCTION("IMPORTRANGE(""https://docs.google.com/spreadsheets/d/1SX6NBoVAgQJ6U1MVXOaj8PK2l7WJ3RER9xtqwdhxkhw/edit?usp=sharing"",""สุพรรณบุรี!J199"")"),0)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IFERROR(__xludf.DUMMYFUNCTION("IMPORTRANGE(""https://docs.google.com/spreadsheets/d/1Yj_ptqi66GCucihVvJfMjLAmec39IyEx_6qawtMGysU/edit?usp=sharing"",""สบก!CT78"")"),0)</f>
        <v>0</v>
      </c>
      <c r="N294" s="169">
        <f ca="1">IFERROR(__xludf.DUMMYFUNCTION("IMPORTRANGE(""https://docs.google.com/spreadsheets/d/1Yj_ptqi66GCucihVvJfMjLAmec39IyEx_6qawtMGysU/edit?usp=sharing"",""สบก!CU78"")"),0)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IFERROR(__xludf.DUMMYFUNCTION("IMPORTRANGE(""https://docs.google.com/spreadsheets/d/1Yj_ptqi66GCucihVvJfMjLAmec39IyEx_6qawtMGysU/edit?usp=sharing"",""สบก!CP78"")"),0)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IFERROR(__xludf.DUMMYFUNCTION("IMPORTRANGE(""https://docs.google.com/spreadsheets/d/1Yj_ptqi66GCucihVvJfMjLAmec39IyEx_6qawtMGysU/edit?usp=sharing"",""สบก!CQ78"")"),0)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IFERROR(__xludf.DUMMYFUNCTION("IMPORTRANGE(""https://docs.google.com/spreadsheets/d/1Yj_ptqi66GCucihVvJfMjLAmec39IyEx_6qawtMGysU/edit?usp=sharing"",""สบก!CR78"")"),0)</f>
        <v>0</v>
      </c>
      <c r="M298" s="49"/>
      <c r="N298" s="49">
        <f ca="1">IFERROR(__xludf.DUMMYFUNCTION("IMPORTRANGE(""https://docs.google.com/spreadsheets/d/1Yj_ptqi66GCucihVvJfMjLAmec39IyEx_6qawtMGysU/edit?usp=sharing"",""สบก!CV78"")"),0)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IFERROR(__xludf.DUMMYFUNCTION("IMPORTRANGE(""https://docs.google.com/spreadsheets/d/1SX6NBoVAgQJ6U1MVXOaj8PK2l7WJ3RER9xtqwdhxkhw/edit?usp=sharing"",""สุพรรณบุรี!J205"")"),0)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IFERROR(__xludf.DUMMYFUNCTION("IMPORTRANGE(""https://docs.google.com/spreadsheets/d/1SX6NBoVAgQJ6U1MVXOaj8PK2l7WJ3RER9xtqwdhxkhw/edit?usp=sharing"",""สุพรรณบุรี!J206"")"),0)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IFERROR(__xludf.DUMMYFUNCTION("IMPORTRANGE(""https://docs.google.com/spreadsheets/d/1SX6NBoVAgQJ6U1MVXOaj8PK2l7WJ3RER9xtqwdhxkhw/edit?usp=sharing"",""สุพรรณบุรี!J207"")"),0)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IFERROR(__xludf.DUMMYFUNCTION("IMPORTRANGE(""https://docs.google.com/spreadsheets/d/1SX6NBoVAgQJ6U1MVXOaj8PK2l7WJ3RER9xtqwdhxkhw/edit?usp=sharing"",""สุพรรณบุรี!J208"")"),0)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IFERROR(__xludf.DUMMYFUNCTION("IMPORTRANGE(""https://docs.google.com/spreadsheets/d/1SX6NBoVAgQJ6U1MVXOaj8PK2l7WJ3RER9xtqwdhxkhw/edit?usp=sharing"",""สุพรรณบุรี!I209"")"),0)</f>
        <v>0</v>
      </c>
      <c r="J304" s="204">
        <f ca="1">IFERROR(__xludf.DUMMYFUNCTION("IMPORTRANGE(""https://docs.google.com/spreadsheets/d/1SX6NBoVAgQJ6U1MVXOaj8PK2l7WJ3RER9xtqwdhxkhw/edit?usp=sharing"",""สุพรรณบุรี!J209"")"),0)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IFERROR(__xludf.DUMMYFUNCTION("IMPORTRANGE(""https://docs.google.com/spreadsheets/d/1SX6NBoVAgQJ6U1MVXOaj8PK2l7WJ3RER9xtqwdhxkhw/edit?usp=sharing"",""สุพรรณบุรี!I211"")"),0)</f>
        <v>0</v>
      </c>
      <c r="J306" s="204">
        <f ca="1">IFERROR(__xludf.DUMMYFUNCTION("IMPORTRANGE(""https://docs.google.com/spreadsheets/d/1SX6NBoVAgQJ6U1MVXOaj8PK2l7WJ3RER9xtqwdhxkhw/edit?usp=sharing"",""สุพรรณบุรี!J211"")"),0)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IFERROR(__xludf.DUMMYFUNCTION("IMPORTRANGE(""https://docs.google.com/spreadsheets/d/1SX6NBoVAgQJ6U1MVXOaj8PK2l7WJ3RER9xtqwdhxkhw/edit?usp=sharing"",""สุพรรณบุรี!J212"")"),0)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IFERROR(__xludf.DUMMYFUNCTION("IMPORTRANGE(""https://docs.google.com/spreadsheets/d/1SX6NBoVAgQJ6U1MVXOaj8PK2l7WJ3RER9xtqwdhxkhw/edit?usp=sharing"",""สุพรรณบุรี!J213"")"),0)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IFERROR(__xludf.DUMMYFUNCTION("IMPORTRANGE(""https://docs.google.com/spreadsheets/d/1SX6NBoVAgQJ6U1MVXOaj8PK2l7WJ3RER9xtqwdhxkhw/edit?usp=sharing"",""สุพรรณบุรี!I214"")"),0)</f>
        <v>0</v>
      </c>
      <c r="J309" s="333">
        <f ca="1">IFERROR(__xludf.DUMMYFUNCTION("IMPORTRANGE(""https://docs.google.com/spreadsheets/d/1SX6NBoVAgQJ6U1MVXOaj8PK2l7WJ3RER9xtqwdhxkhw/edit?usp=sharing"",""สุพรรณบุรี!J214"")"),0)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IFERROR(__xludf.DUMMYFUNCTION("IMPORTRANGE(""https://docs.google.com/spreadsheets/d/1Yj_ptqi66GCucihVvJfMjLAmec39IyEx_6qawtMGysU/edit?usp=sharing"",""สบก!DC78"")"),0)</f>
        <v>0</v>
      </c>
      <c r="N314" s="169">
        <f ca="1">IFERROR(__xludf.DUMMYFUNCTION("IMPORTRANGE(""https://docs.google.com/spreadsheets/d/1Yj_ptqi66GCucihVvJfMjLAmec39IyEx_6qawtMGysU/edit?usp=sharing"",""สบก!DD78"")"),0)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IFERROR(__xludf.DUMMYFUNCTION("IMPORTRANGE(""https://docs.google.com/spreadsheets/d/1Yj_ptqi66GCucihVvJfMjLAmec39IyEx_6qawtMGysU/edit?usp=sharing"",""สบก!CY78"")"),0)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IFERROR(__xludf.DUMMYFUNCTION("IMPORTRANGE(""https://docs.google.com/spreadsheets/d/1Yj_ptqi66GCucihVvJfMjLAmec39IyEx_6qawtMGysU/edit?usp=sharing"",""สบก!CZ78"")"),0)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IFERROR(__xludf.DUMMYFUNCTION("IMPORTRANGE(""https://docs.google.com/spreadsheets/d/1Yj_ptqi66GCucihVvJfMjLAmec39IyEx_6qawtMGysU/edit?usp=sharing"",""สบก!DA78"")"),0)</f>
        <v>0</v>
      </c>
      <c r="M318" s="49"/>
      <c r="N318" s="49">
        <f ca="1">IFERROR(__xludf.DUMMYFUNCTION("IMPORTRANGE(""https://docs.google.com/spreadsheets/d/1Yj_ptqi66GCucihVvJfMjLAmec39IyEx_6qawtMGysU/edit?usp=sharing"",""สบก!DE78"")"),0)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IFERROR(__xludf.DUMMYFUNCTION("IMPORTRANGE(""https://docs.google.com/spreadsheets/d/1SX6NBoVAgQJ6U1MVXOaj8PK2l7WJ3RER9xtqwdhxkhw/edit?usp=sharing"",""สุพรรณบุรี!J220"")"),0)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IFERROR(__xludf.DUMMYFUNCTION("IMPORTRANGE(""https://docs.google.com/spreadsheets/d/1SX6NBoVAgQJ6U1MVXOaj8PK2l7WJ3RER9xtqwdhxkhw/edit?usp=sharing"",""สุพรรณบุรี!J221"")"),0)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IFERROR(__xludf.DUMMYFUNCTION("IMPORTRANGE(""https://docs.google.com/spreadsheets/d/1SX6NBoVAgQJ6U1MVXOaj8PK2l7WJ3RER9xtqwdhxkhw/edit?usp=sharing"",""สุพรรณบุรี!J222"")"),0)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IFERROR(__xludf.DUMMYFUNCTION("IMPORTRANGE(""https://docs.google.com/spreadsheets/d/1SX6NBoVAgQJ6U1MVXOaj8PK2l7WJ3RER9xtqwdhxkhw/edit?usp=sharing"",""สุพรรณบุรี!J223"")"),0)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IFERROR(__xludf.DUMMYFUNCTION("IMPORTRANGE(""https://docs.google.com/spreadsheets/d/1SX6NBoVAgQJ6U1MVXOaj8PK2l7WJ3RER9xtqwdhxkhw/edit?usp=sharing"",""สุพรรณบุรี!I224"")"),0)</f>
        <v>0</v>
      </c>
      <c r="J324" s="204">
        <f ca="1">IFERROR(__xludf.DUMMYFUNCTION("IMPORTRANGE(""https://docs.google.com/spreadsheets/d/1SX6NBoVAgQJ6U1MVXOaj8PK2l7WJ3RER9xtqwdhxkhw/edit?usp=sharing"",""สุพรรณบุรี!J224"")"),0)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IFERROR(__xludf.DUMMYFUNCTION("IMPORTRANGE(""https://docs.google.com/spreadsheets/d/1SX6NBoVAgQJ6U1MVXOaj8PK2l7WJ3RER9xtqwdhxkhw/edit?usp=sharing"",""สุพรรณบุรี!J225"")"),0)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IFERROR(__xludf.DUMMYFUNCTION("IMPORTRANGE(""https://docs.google.com/spreadsheets/d/1SX6NBoVAgQJ6U1MVXOaj8PK2l7WJ3RER9xtqwdhxkhw/edit?usp=sharing"",""สุพรรณบุรี!J226"")"),0)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IFERROR(__xludf.DUMMYFUNCTION("IMPORTRANGE(""https://docs.google.com/spreadsheets/d/1SX6NBoVAgQJ6U1MVXOaj8PK2l7WJ3RER9xtqwdhxkhw/edit?usp=sharing"",""สุพรรณบุรี!I228"")"),120)</f>
        <v>120</v>
      </c>
      <c r="J328" s="339">
        <f ca="1">IFERROR(__xludf.DUMMYFUNCTION("IMPORTRANGE(""https://docs.google.com/spreadsheets/d/1SX6NBoVAgQJ6U1MVXOaj8PK2l7WJ3RER9xtqwdhxkhw/edit?usp=sharing"",""สุพรรณบุรี!J228"")"),213)</f>
        <v>213</v>
      </c>
      <c r="K328" s="317">
        <f ca="1">IF(I328&gt;0,J328*100/I328,0)</f>
        <v>177.5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912740</v>
      </c>
      <c r="M329" s="152">
        <f t="shared" ca="1" si="98"/>
        <v>655780</v>
      </c>
      <c r="N329" s="152">
        <f t="shared" ca="1" si="98"/>
        <v>405407.68</v>
      </c>
      <c r="O329" s="151">
        <f t="shared" ref="O329:O331" ca="1" si="99">IF(L329&gt;0,N329*100/L329,0)</f>
        <v>44.416556741240662</v>
      </c>
      <c r="P329" s="151">
        <f t="shared" ref="P329:P331" ca="1" si="100">IF(M329&gt;0,N329*100/M329,0)</f>
        <v>61.820683765897101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912740</v>
      </c>
      <c r="M331" s="157">
        <f t="shared" ca="1" si="102"/>
        <v>655780</v>
      </c>
      <c r="N331" s="157">
        <f t="shared" ca="1" si="102"/>
        <v>405407.68</v>
      </c>
      <c r="O331" s="156">
        <f t="shared" ca="1" si="99"/>
        <v>44.416556741240662</v>
      </c>
      <c r="P331" s="156">
        <f t="shared" ca="1" si="100"/>
        <v>61.820683765897101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902740</v>
      </c>
      <c r="M333" s="168">
        <f ca="1">IFERROR(__xludf.DUMMYFUNCTION("IMPORTRANGE(""https://docs.google.com/spreadsheets/d/1Yj_ptqi66GCucihVvJfMjLAmec39IyEx_6qawtMGysU/edit?usp=sharing"",""สบก!DL78"")"),645780)</f>
        <v>645780</v>
      </c>
      <c r="N333" s="169">
        <f ca="1">IFERROR(__xludf.DUMMYFUNCTION("IMPORTRANGE(""https://docs.google.com/spreadsheets/d/1Yj_ptqi66GCucihVvJfMjLAmec39IyEx_6qawtMGysU/edit?usp=sharing"",""สบก!DM78"")"),395407.68)</f>
        <v>395407.68</v>
      </c>
      <c r="O333" s="169">
        <f ca="1">IF(L333&gt;0,N333*100/L333,0)</f>
        <v>43.800837450428695</v>
      </c>
      <c r="P333" s="169">
        <f ca="1">IF(M333&gt;0,N333*100/M333,0)</f>
        <v>61.229471336987828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IFERROR(__xludf.DUMMYFUNCTION("IMPORTRANGE(""https://docs.google.com/spreadsheets/d/1Yj_ptqi66GCucihVvJfMjLAmec39IyEx_6qawtMGysU/edit?usp=sharing"",""สบก!DH78"")"),583200)</f>
        <v>583200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IFERROR(__xludf.DUMMYFUNCTION("IMPORTRANGE(""https://docs.google.com/spreadsheets/d/1Yj_ptqi66GCucihVvJfMjLAmec39IyEx_6qawtMGysU/edit?usp=sharing"",""สบก!DI78"")"),319540)</f>
        <v>319540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IFERROR(__xludf.DUMMYFUNCTION("IMPORTRANGE(""https://docs.google.com/spreadsheets/d/1Yj_ptqi66GCucihVvJfMjLAmec39IyEx_6qawtMGysU/edit?usp=sharing"",""สบก!DJ78"")"),10000)</f>
        <v>10000</v>
      </c>
      <c r="M337" s="49">
        <f ca="1">L337</f>
        <v>10000</v>
      </c>
      <c r="N337" s="49">
        <f ca="1">IFERROR(__xludf.DUMMYFUNCTION("IMPORTRANGE(""https://docs.google.com/spreadsheets/d/1Yj_ptqi66GCucihVvJfMjLAmec39IyEx_6qawtMGysU/edit?usp=sharing"",""สบก!DN78"")"),10000)</f>
        <v>10000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IFERROR(__xludf.DUMMYFUNCTION("IMPORTRANGE(""https://docs.google.com/spreadsheets/d/1SX6NBoVAgQJ6U1MVXOaj8PK2l7WJ3RER9xtqwdhxkhw/edit?usp=sharing"",""สุพรรณบุรี!I234"")"),0)</f>
        <v>0</v>
      </c>
      <c r="J339" s="188">
        <f ca="1">IFERROR(__xludf.DUMMYFUNCTION("IMPORTRANGE(""https://docs.google.com/spreadsheets/d/1SX6NBoVAgQJ6U1MVXOaj8PK2l7WJ3RER9xtqwdhxkhw/edit?usp=sharing"",""สุพรรณบุรี!J234"")"),109)</f>
        <v>109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IFERROR(__xludf.DUMMYFUNCTION("IMPORTRANGE(""https://docs.google.com/spreadsheets/d/1SX6NBoVAgQJ6U1MVXOaj8PK2l7WJ3RER9xtqwdhxkhw/edit?usp=sharing"",""สุพรรณบุรี!I235"")"),800)</f>
        <v>800</v>
      </c>
      <c r="J340" s="188">
        <f ca="1">IFERROR(__xludf.DUMMYFUNCTION("IMPORTRANGE(""https://docs.google.com/spreadsheets/d/1SX6NBoVAgQJ6U1MVXOaj8PK2l7WJ3RER9xtqwdhxkhw/edit?usp=sharing"",""สุพรรณบุรี!J235"")"),715.01)</f>
        <v>715.01</v>
      </c>
      <c r="K340" s="342">
        <f t="shared" ca="1" si="103"/>
        <v>89.376249999999999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IFERROR(__xludf.DUMMYFUNCTION("IMPORTRANGE(""https://docs.google.com/spreadsheets/d/1SX6NBoVAgQJ6U1MVXOaj8PK2l7WJ3RER9xtqwdhxkhw/edit?usp=sharing"",""สุพรรณบุรี!I236"")"),120)</f>
        <v>120</v>
      </c>
      <c r="J341" s="188">
        <f ca="1">IFERROR(__xludf.DUMMYFUNCTION("IMPORTRANGE(""https://docs.google.com/spreadsheets/d/1SX6NBoVAgQJ6U1MVXOaj8PK2l7WJ3RER9xtqwdhxkhw/edit?usp=sharing"",""สุพรรณบุรี!J236"")"),201)</f>
        <v>201</v>
      </c>
      <c r="K341" s="342">
        <f t="shared" ca="1" si="103"/>
        <v>167.5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IFERROR(__xludf.DUMMYFUNCTION("IMPORTRANGE(""https://docs.google.com/spreadsheets/d/1SX6NBoVAgQJ6U1MVXOaj8PK2l7WJ3RER9xtqwdhxkhw/edit?usp=sharing"",""สุพรรณบุรี!I237"")"),0)</f>
        <v>0</v>
      </c>
      <c r="J342" s="188">
        <f ca="1">IFERROR(__xludf.DUMMYFUNCTION("IMPORTRANGE(""https://docs.google.com/spreadsheets/d/1SX6NBoVAgQJ6U1MVXOaj8PK2l7WJ3RER9xtqwdhxkhw/edit?usp=sharing"",""สุพรรณบุรี!J237"")"),2277.08)</f>
        <v>2277.08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IFERROR(__xludf.DUMMYFUNCTION("IMPORTRANGE(""https://docs.google.com/spreadsheets/d/1SX6NBoVAgQJ6U1MVXOaj8PK2l7WJ3RER9xtqwdhxkhw/edit?usp=sharing"",""สุพรรณบุรี!I238"")"),120)</f>
        <v>120</v>
      </c>
      <c r="J343" s="188">
        <f ca="1">IFERROR(__xludf.DUMMYFUNCTION("IMPORTRANGE(""https://docs.google.com/spreadsheets/d/1SX6NBoVAgQJ6U1MVXOaj8PK2l7WJ3RER9xtqwdhxkhw/edit?usp=sharing"",""สุพรรณบุรี!J238"")"),0)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IFERROR(__xludf.DUMMYFUNCTION("IMPORTRANGE(""https://docs.google.com/spreadsheets/d/1SX6NBoVAgQJ6U1MVXOaj8PK2l7WJ3RER9xtqwdhxkhw/edit?usp=sharing"",""สุพรรณบุรี!I239"")"),0)</f>
        <v>0</v>
      </c>
      <c r="J344" s="188">
        <f ca="1">IFERROR(__xludf.DUMMYFUNCTION("IMPORTRANGE(""https://docs.google.com/spreadsheets/d/1SX6NBoVAgQJ6U1MVXOaj8PK2l7WJ3RER9xtqwdhxkhw/edit?usp=sharing"",""สุพรรณบุรี!J239"")"),0)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IFERROR(__xludf.DUMMYFUNCTION("IMPORTRANGE(""https://docs.google.com/spreadsheets/d/1SX6NBoVAgQJ6U1MVXOaj8PK2l7WJ3RER9xtqwdhxkhw/edit?usp=sharing"",""สุพรรณบุรี!I240"")"),120)</f>
        <v>120</v>
      </c>
      <c r="J345" s="188">
        <f ca="1">IFERROR(__xludf.DUMMYFUNCTION("IMPORTRANGE(""https://docs.google.com/spreadsheets/d/1SX6NBoVAgQJ6U1MVXOaj8PK2l7WJ3RER9xtqwdhxkhw/edit?usp=sharing"",""สุพรรณบุรี!J240"")"),213)</f>
        <v>213</v>
      </c>
      <c r="K345" s="342">
        <f t="shared" ca="1" si="103"/>
        <v>177.5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IFERROR(__xludf.DUMMYFUNCTION("IMPORTRANGE(""https://docs.google.com/spreadsheets/d/1SX6NBoVAgQJ6U1MVXOaj8PK2l7WJ3RER9xtqwdhxkhw/edit?usp=sharing"",""สุพรรณบุรี!I241"")"),0)</f>
        <v>0</v>
      </c>
      <c r="J346" s="188">
        <f ca="1">IFERROR(__xludf.DUMMYFUNCTION("IMPORTRANGE(""https://docs.google.com/spreadsheets/d/1SX6NBoVAgQJ6U1MVXOaj8PK2l7WJ3RER9xtqwdhxkhw/edit?usp=sharing"",""สุพรรณบุรี!J241"")"),2347.44)</f>
        <v>2347.44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IFERROR(__xludf.DUMMYFUNCTION("IMPORTRANGE(""https://docs.google.com/spreadsheets/d/1SX6NBoVAgQJ6U1MVXOaj8PK2l7WJ3RER9xtqwdhxkhw/edit?usp=sharing"",""สุพรรณบุรี!L242"")"),2630395)</f>
        <v>2630395</v>
      </c>
      <c r="M347" s="358"/>
      <c r="N347" s="358">
        <f ca="1">IFERROR(__xludf.DUMMYFUNCTION("IMPORTRANGE(""https://docs.google.com/spreadsheets/d/1SX6NBoVAgQJ6U1MVXOaj8PK2l7WJ3RER9xtqwdhxkhw/edit?usp=sharing"",""สุพรรณบุรี!M242"")"),1122382.93)</f>
        <v>1122382.93</v>
      </c>
      <c r="O347" s="358">
        <f ca="1">+IF(L347&gt;0,N347*100/L347,0)</f>
        <v>42.669748459832078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IFERROR(__xludf.DUMMYFUNCTION("IMPORTRANGE(""https://docs.google.com/spreadsheets/d/1SX6NBoVAgQJ6U1MVXOaj8PK2l7WJ3RER9xtqwdhxkhw/edit?usp=sharing"",""สุพรรณบุรี!I244"")"),63)</f>
        <v>63</v>
      </c>
      <c r="J349" s="371">
        <f ca="1">IFERROR(__xludf.DUMMYFUNCTION("IMPORTRANGE(""https://docs.google.com/spreadsheets/d/1SX6NBoVAgQJ6U1MVXOaj8PK2l7WJ3RER9xtqwdhxkhw/edit?usp=sharing"",""สุพรรณบุรี!J244"")"),63)</f>
        <v>63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IFERROR(__xludf.DUMMYFUNCTION("IMPORTRANGE(""https://docs.google.com/spreadsheets/d/1SX6NBoVAgQJ6U1MVXOaj8PK2l7WJ3RER9xtqwdhxkhw/edit?usp=sharing"",""สุพรรณบุรี!L244"")"),295840)</f>
        <v>295840</v>
      </c>
      <c r="M349" s="373"/>
      <c r="N349" s="373">
        <f ca="1">IFERROR(__xludf.DUMMYFUNCTION("IMPORTRANGE(""https://docs.google.com/spreadsheets/d/1SX6NBoVAgQJ6U1MVXOaj8PK2l7WJ3RER9xtqwdhxkhw/edit?usp=sharing"",""สุพรรณบุรี!M244"")"),183420)</f>
        <v>183420</v>
      </c>
      <c r="O349" s="373">
        <f ca="1">+IF(L349&gt;0,N349*100/L349,0)</f>
        <v>61.999729583558683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IFERROR(__xludf.DUMMYFUNCTION("IMPORTRANGE(""https://docs.google.com/spreadsheets/d/1SX6NBoVAgQJ6U1MVXOaj8PK2l7WJ3RER9xtqwdhxkhw/edit?usp=sharing"",""สุพรรณบุรี!I245"")"),42)</f>
        <v>42</v>
      </c>
      <c r="J350" s="371">
        <f ca="1">IFERROR(__xludf.DUMMYFUNCTION("IMPORTRANGE(""https://docs.google.com/spreadsheets/d/1SX6NBoVAgQJ6U1MVXOaj8PK2l7WJ3RER9xtqwdhxkhw/edit?usp=sharing"",""สุพรรณบุรี!J245"")"),42)</f>
        <v>42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IFERROR(__xludf.DUMMYFUNCTION("IMPORTRANGE(""https://docs.google.com/spreadsheets/d/1SX6NBoVAgQJ6U1MVXOaj8PK2l7WJ3RER9xtqwdhxkhw/edit?usp=sharing"",""สุพรรณบุรี!L246"")"),0)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IFERROR(__xludf.DUMMYFUNCTION("IMPORTRANGE(""https://docs.google.com/spreadsheets/d/1SX6NBoVAgQJ6U1MVXOaj8PK2l7WJ3RER9xtqwdhxkhw/edit?usp=sharing"",""สุพรรณบุรี!M246"")"),0)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IFERROR(__xludf.DUMMYFUNCTION("IMPORTRANGE(""https://docs.google.com/spreadsheets/d/1SX6NBoVAgQJ6U1MVXOaj8PK2l7WJ3RER9xtqwdhxkhw/edit?usp=sharing"",""สุพรรณบุรี!L247"")"),295840)</f>
        <v>295840</v>
      </c>
      <c r="M352" s="165"/>
      <c r="N352" s="164">
        <f ca="1">IFERROR(__xludf.DUMMYFUNCTION("IMPORTRANGE(""https://docs.google.com/spreadsheets/d/1SX6NBoVAgQJ6U1MVXOaj8PK2l7WJ3RER9xtqwdhxkhw/edit?usp=sharing"",""สุพรรณบุรี!M247"")"),183420)</f>
        <v>183420</v>
      </c>
      <c r="O352" s="165">
        <f t="shared" ca="1" si="105"/>
        <v>61.999729583558683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IFERROR(__xludf.DUMMYFUNCTION("IMPORTRANGE(""https://docs.google.com/spreadsheets/d/1SX6NBoVAgQJ6U1MVXOaj8PK2l7WJ3RER9xtqwdhxkhw/edit?usp=sharing"",""สุพรรณบุรี!L248"")"),0)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IFERROR(__xludf.DUMMYFUNCTION("IMPORTRANGE(""https://docs.google.com/spreadsheets/d/1SX6NBoVAgQJ6U1MVXOaj8PK2l7WJ3RER9xtqwdhxkhw/edit?usp=sharing"",""สุพรรณบุรี!M248"")"),0)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IFERROR(__xludf.DUMMYFUNCTION("IMPORTRANGE(""https://docs.google.com/spreadsheets/d/1SX6NBoVAgQJ6U1MVXOaj8PK2l7WJ3RER9xtqwdhxkhw/edit?usp=sharing"",""สุพรรณบุรี!L249"")"),295840)</f>
        <v>295840</v>
      </c>
      <c r="M354" s="169"/>
      <c r="N354" s="168">
        <f ca="1">IFERROR(__xludf.DUMMYFUNCTION("IMPORTRANGE(""https://docs.google.com/spreadsheets/d/1SX6NBoVAgQJ6U1MVXOaj8PK2l7WJ3RER9xtqwdhxkhw/edit?usp=sharing"",""สุพรรณบุรี!M249"")"),183420)</f>
        <v>183420</v>
      </c>
      <c r="O354" s="169">
        <f t="shared" ca="1" si="105"/>
        <v>61.999729583558683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IFERROR(__xludf.DUMMYFUNCTION("IMPORTRANGE(""https://docs.google.com/spreadsheets/d/1SX6NBoVAgQJ6U1MVXOaj8PK2l7WJ3RER9xtqwdhxkhw/edit?usp=sharing"",""สุพรรณบุรี!M250"")"),52680)</f>
        <v>52680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IFERROR(__xludf.DUMMYFUNCTION("IMPORTRANGE(""https://docs.google.com/spreadsheets/d/1SX6NBoVAgQJ6U1MVXOaj8PK2l7WJ3RER9xtqwdhxkhw/edit?usp=sharing"",""สุพรรณบุรี!M251"")"),65100)</f>
        <v>65100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IFERROR(__xludf.DUMMYFUNCTION("IMPORTRANGE(""https://docs.google.com/spreadsheets/d/1SX6NBoVAgQJ6U1MVXOaj8PK2l7WJ3RER9xtqwdhxkhw/edit?usp=sharing"",""สุพรรณบุรี!M252"")"),55000)</f>
        <v>55000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IFERROR(__xludf.DUMMYFUNCTION("IMPORTRANGE(""https://docs.google.com/spreadsheets/d/1SX6NBoVAgQJ6U1MVXOaj8PK2l7WJ3RER9xtqwdhxkhw/edit?usp=sharing"",""สุพรรณบุรี!M253"")"),10640)</f>
        <v>10640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IFERROR(__xludf.DUMMYFUNCTION("IMPORTRANGE(""https://docs.google.com/spreadsheets/d/1SX6NBoVAgQJ6U1MVXOaj8PK2l7WJ3RER9xtqwdhxkhw/edit?usp=sharing"",""สุพรรณบุรี!J255"")"),0)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IFERROR(__xludf.DUMMYFUNCTION("IMPORTRANGE(""https://docs.google.com/spreadsheets/d/1SX6NBoVAgQJ6U1MVXOaj8PK2l7WJ3RER9xtqwdhxkhw/edit?usp=sharing"",""สุพรรณบุรี!J256"")"),1)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IFERROR(__xludf.DUMMYFUNCTION("IMPORTRANGE(""https://docs.google.com/spreadsheets/d/1SX6NBoVAgQJ6U1MVXOaj8PK2l7WJ3RER9xtqwdhxkhw/edit?usp=sharing"",""สุพรรณบุรี!J257"")"),1)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IFERROR(__xludf.DUMMYFUNCTION("IMPORTRANGE(""https://docs.google.com/spreadsheets/d/1SX6NBoVAgQJ6U1MVXOaj8PK2l7WJ3RER9xtqwdhxkhw/edit?usp=sharing"",""สุพรรณบุรี!J258"")"),1)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IFERROR(__xludf.DUMMYFUNCTION("IMPORTRANGE(""https://docs.google.com/spreadsheets/d/1SX6NBoVAgQJ6U1MVXOaj8PK2l7WJ3RER9xtqwdhxkhw/edit?usp=sharing"",""สุพรรณบุรี!J166"")"),0)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IFERROR(__xludf.DUMMYFUNCTION("IMPORTRANGE(""https://docs.google.com/spreadsheets/d/1SX6NBoVAgQJ6U1MVXOaj8PK2l7WJ3RER9xtqwdhxkhw/edit?usp=sharing"",""สุพรรณบุรี!J166"")"),0)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IFERROR(__xludf.DUMMYFUNCTION("IMPORTRANGE(""https://docs.google.com/spreadsheets/d/1SX6NBoVAgQJ6U1MVXOaj8PK2l7WJ3RER9xtqwdhxkhw/edit?usp=sharing"",""สุพรรณบุรี!J166"")"),0)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IFERROR(__xludf.DUMMYFUNCTION("IMPORTRANGE(""https://docs.google.com/spreadsheets/d/1SX6NBoVAgQJ6U1MVXOaj8PK2l7WJ3RER9xtqwdhxkhw/edit?usp=sharing"",""สุพรรณบุรี!J166"")"),0)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IFERROR(__xludf.DUMMYFUNCTION("IMPORTRANGE(""https://docs.google.com/spreadsheets/d/1SX6NBoVAgQJ6U1MVXOaj8PK2l7WJ3RER9xtqwdhxkhw/edit?usp=sharing"",""สุพรรณบุรี!I263"")"),42)</f>
        <v>42</v>
      </c>
      <c r="J368" s="188">
        <f ca="1">IFERROR(__xludf.DUMMYFUNCTION("IMPORTRANGE(""https://docs.google.com/spreadsheets/d/1SX6NBoVAgQJ6U1MVXOaj8PK2l7WJ3RER9xtqwdhxkhw/edit?usp=sharing"",""สุพรรณบุรี!J263"")"),42)</f>
        <v>42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IFERROR(__xludf.DUMMYFUNCTION("IMPORTRANGE(""https://docs.google.com/spreadsheets/d/1SX6NBoVAgQJ6U1MVXOaj8PK2l7WJ3RER9xtqwdhxkhw/edit?usp=sharing"",""สุพรรณบุรี!I164"")"),0)</f>
        <v>0</v>
      </c>
      <c r="J369" s="204">
        <f ca="1">IFERROR(__xludf.DUMMYFUNCTION("IMPORTRANGE(""https://docs.google.com/spreadsheets/d/1SX6NBoVAgQJ6U1MVXOaj8PK2l7WJ3RER9xtqwdhxkhw/edit?usp=sharing"",""สุพรรณบุรี!J164"")"),0)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IFERROR(__xludf.DUMMYFUNCTION("IMPORTRANGE(""https://docs.google.com/spreadsheets/d/1SX6NBoVAgQJ6U1MVXOaj8PK2l7WJ3RER9xtqwdhxkhw/edit?usp=sharing"",""สุพรรณบุรี!I265"")"),42)</f>
        <v>42</v>
      </c>
      <c r="J370" s="204">
        <f ca="1">IFERROR(__xludf.DUMMYFUNCTION("IMPORTRANGE(""https://docs.google.com/spreadsheets/d/1SX6NBoVAgQJ6U1MVXOaj8PK2l7WJ3RER9xtqwdhxkhw/edit?usp=sharing"",""สุพรรณบุรี!J265"")"),42)</f>
        <v>42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IFERROR(__xludf.DUMMYFUNCTION("IMPORTRANGE(""https://docs.google.com/spreadsheets/d/1SX6NBoVAgQJ6U1MVXOaj8PK2l7WJ3RER9xtqwdhxkhw/edit?usp=sharing"",""สุพรรณบุรี!I164"")"),0)</f>
        <v>0</v>
      </c>
      <c r="J371" s="189">
        <f ca="1">IFERROR(__xludf.DUMMYFUNCTION("IMPORTRANGE(""https://docs.google.com/spreadsheets/d/1SX6NBoVAgQJ6U1MVXOaj8PK2l7WJ3RER9xtqwdhxkhw/edit?usp=sharing"",""สุพรรณบุรี!J164"")"),0)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IFERROR(__xludf.DUMMYFUNCTION("IMPORTRANGE(""https://docs.google.com/spreadsheets/d/1SX6NBoVAgQJ6U1MVXOaj8PK2l7WJ3RER9xtqwdhxkhw/edit?usp=sharing"",""สุพรรณบุรี!I267"")"),42)</f>
        <v>42</v>
      </c>
      <c r="J372" s="189">
        <f ca="1">IFERROR(__xludf.DUMMYFUNCTION("IMPORTRANGE(""https://docs.google.com/spreadsheets/d/1SX6NBoVAgQJ6U1MVXOaj8PK2l7WJ3RER9xtqwdhxkhw/edit?usp=sharing"",""สุพรรณบุรี!J267"")"),42)</f>
        <v>42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IFERROR(__xludf.DUMMYFUNCTION("IMPORTRANGE(""https://docs.google.com/spreadsheets/d/1SX6NBoVAgQJ6U1MVXOaj8PK2l7WJ3RER9xtqwdhxkhw/edit?usp=sharing"",""สุพรรณบุรี!I164"")"),0)</f>
        <v>0</v>
      </c>
      <c r="J373" s="204">
        <f ca="1">IFERROR(__xludf.DUMMYFUNCTION("IMPORTRANGE(""https://docs.google.com/spreadsheets/d/1SX6NBoVAgQJ6U1MVXOaj8PK2l7WJ3RER9xtqwdhxkhw/edit?usp=sharing"",""สุพรรณบุรี!J164"")"),0)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IFERROR(__xludf.DUMMYFUNCTION("IMPORTRANGE(""https://docs.google.com/spreadsheets/d/1SX6NBoVAgQJ6U1MVXOaj8PK2l7WJ3RER9xtqwdhxkhw/edit?usp=sharing"",""สุพรรณบุรี!I164"")"),0)</f>
        <v>0</v>
      </c>
      <c r="J374" s="188">
        <f ca="1">IFERROR(__xludf.DUMMYFUNCTION("IMPORTRANGE(""https://docs.google.com/spreadsheets/d/1SX6NBoVAgQJ6U1MVXOaj8PK2l7WJ3RER9xtqwdhxkhw/edit?usp=sharing"",""สุพรรณบุรี!J164"")"),0)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IFERROR(__xludf.DUMMYFUNCTION("IMPORTRANGE(""https://docs.google.com/spreadsheets/d/1SX6NBoVAgQJ6U1MVXOaj8PK2l7WJ3RER9xtqwdhxkhw/edit?usp=sharing"",""สุพรรณบุรี!I270"")"),63)</f>
        <v>63</v>
      </c>
      <c r="J375" s="188">
        <f ca="1">IFERROR(__xludf.DUMMYFUNCTION("IMPORTRANGE(""https://docs.google.com/spreadsheets/d/1SX6NBoVAgQJ6U1MVXOaj8PK2l7WJ3RER9xtqwdhxkhw/edit?usp=sharing"",""สุพรรณบุรี!J270"")"),63)</f>
        <v>63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IFERROR(__xludf.DUMMYFUNCTION("IMPORTRANGE(""https://docs.google.com/spreadsheets/d/1SX6NBoVAgQJ6U1MVXOaj8PK2l7WJ3RER9xtqwdhxkhw/edit?usp=sharing"",""สุพรรณบุรี!I271"")"),20)</f>
        <v>20</v>
      </c>
      <c r="J376" s="189">
        <f ca="1">IFERROR(__xludf.DUMMYFUNCTION("IMPORTRANGE(""https://docs.google.com/spreadsheets/d/1SX6NBoVAgQJ6U1MVXOaj8PK2l7WJ3RER9xtqwdhxkhw/edit?usp=sharing"",""สุพรรณบุรี!J271"")"),20)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IFERROR(__xludf.DUMMYFUNCTION("IMPORTRANGE(""https://docs.google.com/spreadsheets/d/1SX6NBoVAgQJ6U1MVXOaj8PK2l7WJ3RER9xtqwdhxkhw/edit?usp=sharing"",""สุพรรณบุรี!I272"")"),43)</f>
        <v>43</v>
      </c>
      <c r="J377" s="204">
        <f ca="1">IFERROR(__xludf.DUMMYFUNCTION("IMPORTRANGE(""https://docs.google.com/spreadsheets/d/1SX6NBoVAgQJ6U1MVXOaj8PK2l7WJ3RER9xtqwdhxkhw/edit?usp=sharing"",""สุพรรณบุรี!J272"")"),43)</f>
        <v>43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IFERROR(__xludf.DUMMYFUNCTION("IMPORTRANGE(""https://docs.google.com/spreadsheets/d/1SX6NBoVAgQJ6U1MVXOaj8PK2l7WJ3RER9xtqwdhxkhw/edit?usp=sharing"",""สุพรรณบุรี!J273"")"),0)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IFERROR(__xludf.DUMMYFUNCTION("IMPORTRANGE(""https://docs.google.com/spreadsheets/d/1SX6NBoVAgQJ6U1MVXOaj8PK2l7WJ3RER9xtqwdhxkhw/edit?usp=sharing"",""สุพรรณบุรี!J274"")"),0)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IFERROR(__xludf.DUMMYFUNCTION("IMPORTRANGE(""https://docs.google.com/spreadsheets/d/1SX6NBoVAgQJ6U1MVXOaj8PK2l7WJ3RER9xtqwdhxkhw/edit?usp=sharing"",""สุพรรณบุรี!I275"")"),1000)</f>
        <v>1000</v>
      </c>
      <c r="J380" s="371">
        <f ca="1">IFERROR(__xludf.DUMMYFUNCTION("IMPORTRANGE(""https://docs.google.com/spreadsheets/d/1SX6NBoVAgQJ6U1MVXOaj8PK2l7WJ3RER9xtqwdhxkhw/edit?usp=sharing"",""สุพรรณบุรี!J275"")"),0)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IFERROR(__xludf.DUMMYFUNCTION("IMPORTRANGE(""https://docs.google.com/spreadsheets/d/1SX6NBoVAgQJ6U1MVXOaj8PK2l7WJ3RER9xtqwdhxkhw/edit?usp=sharing"",""สุพรรณบุรี!L275"")"),1028520)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IFERROR(__xludf.DUMMYFUNCTION("IMPORTRANGE(""https://docs.google.com/spreadsheets/d/1SX6NBoVAgQJ6U1MVXOaj8PK2l7WJ3RER9xtqwdhxkhw/edit?usp=sharing"",""สุพรรณบุรี!M275"")"),301661.95)</f>
        <v>301661.95</v>
      </c>
      <c r="O380" s="373">
        <f ca="1">+IF(L380&gt;0,N380*100/L380,0)</f>
        <v>29.329711624470111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IFERROR(__xludf.DUMMYFUNCTION("IMPORTRANGE(""https://docs.google.com/spreadsheets/d/1SX6NBoVAgQJ6U1MVXOaj8PK2l7WJ3RER9xtqwdhxkhw/edit?usp=sharing"",""สุพรรณบุรี!I276"")"),100)</f>
        <v>100</v>
      </c>
      <c r="J381" s="371">
        <f ca="1">IFERROR(__xludf.DUMMYFUNCTION("IMPORTRANGE(""https://docs.google.com/spreadsheets/d/1SX6NBoVAgQJ6U1MVXOaj8PK2l7WJ3RER9xtqwdhxkhw/edit?usp=sharing"",""สุพรรณบุรี!J276"")"),100)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IFERROR(__xludf.DUMMYFUNCTION("IMPORTRANGE(""https://docs.google.com/spreadsheets/d/1SX6NBoVAgQJ6U1MVXOaj8PK2l7WJ3RER9xtqwdhxkhw/edit?usp=sharing"",""สุพรรณบุรี!L277"")"),0)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IFERROR(__xludf.DUMMYFUNCTION("IMPORTRANGE(""https://docs.google.com/spreadsheets/d/1SX6NBoVAgQJ6U1MVXOaj8PK2l7WJ3RER9xtqwdhxkhw/edit?usp=sharing"",""สุพรรณบุรี!M277"")"),0)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IFERROR(__xludf.DUMMYFUNCTION("IMPORTRANGE(""https://docs.google.com/spreadsheets/d/1SX6NBoVAgQJ6U1MVXOaj8PK2l7WJ3RER9xtqwdhxkhw/edit?usp=sharing"",""สุพรรณบุรี!L278"")"),1028520)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IFERROR(__xludf.DUMMYFUNCTION("IMPORTRANGE(""https://docs.google.com/spreadsheets/d/1SX6NBoVAgQJ6U1MVXOaj8PK2l7WJ3RER9xtqwdhxkhw/edit?usp=sharing"",""สุพรรณบุรี!M278"")"),301661.95)</f>
        <v>301661.95</v>
      </c>
      <c r="O383" s="165">
        <f t="shared" ca="1" si="109"/>
        <v>29.329711624470111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IFERROR(__xludf.DUMMYFUNCTION("IMPORTRANGE(""https://docs.google.com/spreadsheets/d/1SX6NBoVAgQJ6U1MVXOaj8PK2l7WJ3RER9xtqwdhxkhw/edit?usp=sharing"",""สุพรรณบุรี!L279"")"),0)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IFERROR(__xludf.DUMMYFUNCTION("IMPORTRANGE(""https://docs.google.com/spreadsheets/d/1SX6NBoVAgQJ6U1MVXOaj8PK2l7WJ3RER9xtqwdhxkhw/edit?usp=sharing"",""สุพรรณบุรี!M279"")"),0)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IFERROR(__xludf.DUMMYFUNCTION("IMPORTRANGE(""https://docs.google.com/spreadsheets/d/1SX6NBoVAgQJ6U1MVXOaj8PK2l7WJ3RER9xtqwdhxkhw/edit?usp=sharing"",""สุพรรณบุรี!L280"")"),1028520)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IFERROR(__xludf.DUMMYFUNCTION("IMPORTRANGE(""https://docs.google.com/spreadsheets/d/1SX6NBoVAgQJ6U1MVXOaj8PK2l7WJ3RER9xtqwdhxkhw/edit?usp=sharing"",""สุพรรณบุรี!M280"")"),301661.95)</f>
        <v>301661.95</v>
      </c>
      <c r="O385" s="169">
        <f t="shared" ca="1" si="109"/>
        <v>29.329711624470111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IFERROR(__xludf.DUMMYFUNCTION("IMPORTRANGE(""https://docs.google.com/spreadsheets/d/1SX6NBoVAgQJ6U1MVXOaj8PK2l7WJ3RER9xtqwdhxkhw/edit?usp=sharing"",""สุพรรณบุรี!M281"")"),211000)</f>
        <v>211000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IFERROR(__xludf.DUMMYFUNCTION("IMPORTRANGE(""https://docs.google.com/spreadsheets/d/1SX6NBoVAgQJ6U1MVXOaj8PK2l7WJ3RER9xtqwdhxkhw/edit?usp=sharing"",""สุพรรณบุรี!M282"")"),0)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IFERROR(__xludf.DUMMYFUNCTION("IMPORTRANGE(""https://docs.google.com/spreadsheets/d/1SX6NBoVAgQJ6U1MVXOaj8PK2l7WJ3RER9xtqwdhxkhw/edit?usp=sharing"",""สุพรรณบุรี!M283"")"),76741.95)</f>
        <v>76741.95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IFERROR(__xludf.DUMMYFUNCTION("IMPORTRANGE(""https://docs.google.com/spreadsheets/d/1SX6NBoVAgQJ6U1MVXOaj8PK2l7WJ3RER9xtqwdhxkhw/edit?usp=sharing"",""สุพรรณบุรี!M284"")"),13920)</f>
        <v>13920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IFERROR(__xludf.DUMMYFUNCTION("IMPORTRANGE(""https://docs.google.com/spreadsheets/d/1SX6NBoVAgQJ6U1MVXOaj8PK2l7WJ3RER9xtqwdhxkhw/edit?usp=sharing"",""สุพรรณบุรี!J286"")"),0)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IFERROR(__xludf.DUMMYFUNCTION("IMPORTRANGE(""https://docs.google.com/spreadsheets/d/1SX6NBoVAgQJ6U1MVXOaj8PK2l7WJ3RER9xtqwdhxkhw/edit?usp=sharing"",""สุพรรณบุรี!J287"")"),1)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IFERROR(__xludf.DUMMYFUNCTION("IMPORTRANGE(""https://docs.google.com/spreadsheets/d/1SX6NBoVAgQJ6U1MVXOaj8PK2l7WJ3RER9xtqwdhxkhw/edit?usp=sharing"",""สุพรรณบุรี!J288"")"),1)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IFERROR(__xludf.DUMMYFUNCTION("IMPORTRANGE(""https://docs.google.com/spreadsheets/d/1SX6NBoVAgQJ6U1MVXOaj8PK2l7WJ3RER9xtqwdhxkhw/edit?usp=sharing"",""สุพรรณบุรี!J289"")"),1)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IFERROR(__xludf.DUMMYFUNCTION("IMPORTRANGE(""https://docs.google.com/spreadsheets/d/1SX6NBoVAgQJ6U1MVXOaj8PK2l7WJ3RER9xtqwdhxkhw/edit?usp=sharing"",""สุพรรณบุรี!I291"")"),100)</f>
        <v>100</v>
      </c>
      <c r="J396" s="198">
        <f ca="1">IFERROR(__xludf.DUMMYFUNCTION("IMPORTRANGE(""https://docs.google.com/spreadsheets/d/1SX6NBoVAgQJ6U1MVXOaj8PK2l7WJ3RER9xtqwdhxkhw/edit?usp=sharing"",""สุพรรณบุรี!J291"")"),100)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IFERROR(__xludf.DUMMYFUNCTION("IMPORTRANGE(""https://docs.google.com/spreadsheets/d/1SX6NBoVAgQJ6U1MVXOaj8PK2l7WJ3RER9xtqwdhxkhw/edit?usp=sharing"",""สุพรรณบุรี!I292"")"),1000)</f>
        <v>1000</v>
      </c>
      <c r="J397" s="198">
        <f ca="1">IFERROR(__xludf.DUMMYFUNCTION("IMPORTRANGE(""https://docs.google.com/spreadsheets/d/1SX6NBoVAgQJ6U1MVXOaj8PK2l7WJ3RER9xtqwdhxkhw/edit?usp=sharing"",""สุพรรณบุรี!J292"")"),0)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IFERROR(__xludf.DUMMYFUNCTION("IMPORTRANGE(""https://docs.google.com/spreadsheets/d/1SX6NBoVAgQJ6U1MVXOaj8PK2l7WJ3RER9xtqwdhxkhw/edit?usp=sharing"",""สุพรรณบุรี!I293"")"),100)</f>
        <v>100</v>
      </c>
      <c r="J398" s="198">
        <f ca="1">IFERROR(__xludf.DUMMYFUNCTION("IMPORTRANGE(""https://docs.google.com/spreadsheets/d/1SX6NBoVAgQJ6U1MVXOaj8PK2l7WJ3RER9xtqwdhxkhw/edit?usp=sharing"",""สุพรรณบุรี!J293"")"),0)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IFERROR(__xludf.DUMMYFUNCTION("IMPORTRANGE(""https://docs.google.com/spreadsheets/d/1SX6NBoVAgQJ6U1MVXOaj8PK2l7WJ3RER9xtqwdhxkhw/edit?usp=sharing"",""สุพรรณบุรี!J294"")"),0)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IFERROR(__xludf.DUMMYFUNCTION("IMPORTRANGE(""https://docs.google.com/spreadsheets/d/1SX6NBoVAgQJ6U1MVXOaj8PK2l7WJ3RER9xtqwdhxkhw/edit?usp=sharing"",""สุพรรณบุรี!J295"")"),0)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IFERROR(__xludf.DUMMYFUNCTION("IMPORTRANGE(""https://docs.google.com/spreadsheets/d/1SX6NBoVAgQJ6U1MVXOaj8PK2l7WJ3RER9xtqwdhxkhw/edit?usp=sharing"",""สุพรรณบุรี!I296"")"),180)</f>
        <v>180</v>
      </c>
      <c r="J401" s="371">
        <f ca="1">IFERROR(__xludf.DUMMYFUNCTION("IMPORTRANGE(""https://docs.google.com/spreadsheets/d/1SX6NBoVAgQJ6U1MVXOaj8PK2l7WJ3RER9xtqwdhxkhw/edit?usp=sharing"",""สุพรรณบุรี!J296"")"),30)</f>
        <v>30</v>
      </c>
      <c r="K401" s="372">
        <f t="shared" ref="K401:K402" ca="1" si="111">IF(I401&gt;0,J401*100/I401,0)</f>
        <v>16.666666666666668</v>
      </c>
      <c r="L401" s="373">
        <f ca="1">IFERROR(__xludf.DUMMYFUNCTION("IMPORTRANGE(""https://docs.google.com/spreadsheets/d/1SX6NBoVAgQJ6U1MVXOaj8PK2l7WJ3RER9xtqwdhxkhw/edit?usp=sharing"",""สุพรรณบุรี!L296"")"),186540)</f>
        <v>186540</v>
      </c>
      <c r="M401" s="373"/>
      <c r="N401" s="373">
        <f ca="1">IFERROR(__xludf.DUMMYFUNCTION("IMPORTRANGE(""https://docs.google.com/spreadsheets/d/1SX6NBoVAgQJ6U1MVXOaj8PK2l7WJ3RER9xtqwdhxkhw/edit?usp=sharing"",""สุพรรณบุรี!M296"")"),130070)</f>
        <v>130070</v>
      </c>
      <c r="O401" s="373">
        <f ca="1">+IF(L401&gt;0,N401*100/L401,0)</f>
        <v>69.727672349094021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IFERROR(__xludf.DUMMYFUNCTION("IMPORTRANGE(""https://docs.google.com/spreadsheets/d/1SX6NBoVAgQJ6U1MVXOaj8PK2l7WJ3RER9xtqwdhxkhw/edit?usp=sharing"",""สุพรรณบุรี!I297"")"),60)</f>
        <v>60</v>
      </c>
      <c r="J402" s="371">
        <f ca="1">IFERROR(__xludf.DUMMYFUNCTION("IMPORTRANGE(""https://docs.google.com/spreadsheets/d/1SX6NBoVAgQJ6U1MVXOaj8PK2l7WJ3RER9xtqwdhxkhw/edit?usp=sharing"",""สุพรรณบุรี!J297"")"),60)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IFERROR(__xludf.DUMMYFUNCTION("IMPORTRANGE(""https://docs.google.com/spreadsheets/d/1SX6NBoVAgQJ6U1MVXOaj8PK2l7WJ3RER9xtqwdhxkhw/edit?usp=sharing"",""สุพรรณบุรี!L298"")"),0)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IFERROR(__xludf.DUMMYFUNCTION("IMPORTRANGE(""https://docs.google.com/spreadsheets/d/1SX6NBoVAgQJ6U1MVXOaj8PK2l7WJ3RER9xtqwdhxkhw/edit?usp=sharing"",""สุพรรณบุรี!M298"")"),0)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IFERROR(__xludf.DUMMYFUNCTION("IMPORTRANGE(""https://docs.google.com/spreadsheets/d/1SX6NBoVAgQJ6U1MVXOaj8PK2l7WJ3RER9xtqwdhxkhw/edit?usp=sharing"",""สุพรรณบุรี!L299"")"),186540)</f>
        <v>186540</v>
      </c>
      <c r="M404" s="165"/>
      <c r="N404" s="169">
        <f ca="1">IFERROR(__xludf.DUMMYFUNCTION("IMPORTRANGE(""https://docs.google.com/spreadsheets/d/1SX6NBoVAgQJ6U1MVXOaj8PK2l7WJ3RER9xtqwdhxkhw/edit?usp=sharing"",""สุพรรณบุรี!M299"")"),130070)</f>
        <v>130070</v>
      </c>
      <c r="O404" s="169">
        <f t="shared" ca="1" si="112"/>
        <v>69.727672349094021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IFERROR(__xludf.DUMMYFUNCTION("IMPORTRANGE(""https://docs.google.com/spreadsheets/d/1SX6NBoVAgQJ6U1MVXOaj8PK2l7WJ3RER9xtqwdhxkhw/edit?usp=sharing"",""สุพรรณบุรี!L300"")"),0)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IFERROR(__xludf.DUMMYFUNCTION("IMPORTRANGE(""https://docs.google.com/spreadsheets/d/1SX6NBoVAgQJ6U1MVXOaj8PK2l7WJ3RER9xtqwdhxkhw/edit?usp=sharing"",""สุพรรณบุรี!M300"")"),0)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IFERROR(__xludf.DUMMYFUNCTION("IMPORTRANGE(""https://docs.google.com/spreadsheets/d/1SX6NBoVAgQJ6U1MVXOaj8PK2l7WJ3RER9xtqwdhxkhw/edit?usp=sharing"",""สุพรรณบุรี!L301"")"),186540)</f>
        <v>186540</v>
      </c>
      <c r="M406" s="169"/>
      <c r="N406" s="169">
        <f ca="1">IFERROR(__xludf.DUMMYFUNCTION("IMPORTRANGE(""https://docs.google.com/spreadsheets/d/1SX6NBoVAgQJ6U1MVXOaj8PK2l7WJ3RER9xtqwdhxkhw/edit?usp=sharing"",""สุพรรณบุรี!M301"")"),130070)</f>
        <v>130070</v>
      </c>
      <c r="O406" s="169">
        <f t="shared" ca="1" si="112"/>
        <v>69.727672349094021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IFERROR(__xludf.DUMMYFUNCTION("IMPORTRANGE(""https://docs.google.com/spreadsheets/d/1SX6NBoVAgQJ6U1MVXOaj8PK2l7WJ3RER9xtqwdhxkhw/edit?usp=sharing"",""สุพรรณบุรี!M302"")"),113710)</f>
        <v>113710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IFERROR(__xludf.DUMMYFUNCTION("IMPORTRANGE(""https://docs.google.com/spreadsheets/d/1SX6NBoVAgQJ6U1MVXOaj8PK2l7WJ3RER9xtqwdhxkhw/edit?usp=sharing"",""สุพรรณบุรี!M303"")"),0)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IFERROR(__xludf.DUMMYFUNCTION("IMPORTRANGE(""https://docs.google.com/spreadsheets/d/1SX6NBoVAgQJ6U1MVXOaj8PK2l7WJ3RER9xtqwdhxkhw/edit?usp=sharing"",""สุพรรณบุรี!M304"")"),0)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IFERROR(__xludf.DUMMYFUNCTION("IMPORTRANGE(""https://docs.google.com/spreadsheets/d/1SX6NBoVAgQJ6U1MVXOaj8PK2l7WJ3RER9xtqwdhxkhw/edit?usp=sharing"",""สุพรรณบุรี!M305"")"),16360)</f>
        <v>16360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IFERROR(__xludf.DUMMYFUNCTION("IMPORTRANGE(""https://docs.google.com/spreadsheets/d/1SX6NBoVAgQJ6U1MVXOaj8PK2l7WJ3RER9xtqwdhxkhw/edit?usp=sharing"",""สุพรรณบุรี!J307"")"),0)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IFERROR(__xludf.DUMMYFUNCTION("IMPORTRANGE(""https://docs.google.com/spreadsheets/d/1SX6NBoVAgQJ6U1MVXOaj8PK2l7WJ3RER9xtqwdhxkhw/edit?usp=sharing"",""สุพรรณบุรี!J308"")"),1)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IFERROR(__xludf.DUMMYFUNCTION("IMPORTRANGE(""https://docs.google.com/spreadsheets/d/1SX6NBoVAgQJ6U1MVXOaj8PK2l7WJ3RER9xtqwdhxkhw/edit?usp=sharing"",""สุพรรณบุรี!J309"")"),1)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IFERROR(__xludf.DUMMYFUNCTION("IMPORTRANGE(""https://docs.google.com/spreadsheets/d/1SX6NBoVAgQJ6U1MVXOaj8PK2l7WJ3RER9xtqwdhxkhw/edit?usp=sharing"",""สุพรรณบุรี!J310"")"),1)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IFERROR(__xludf.DUMMYFUNCTION("IMPORTRANGE(""https://docs.google.com/spreadsheets/d/1SX6NBoVAgQJ6U1MVXOaj8PK2l7WJ3RER9xtqwdhxkhw/edit?usp=sharing"",""สุพรรณบุรี!I311"")"),60)</f>
        <v>60</v>
      </c>
      <c r="J416" s="201">
        <f ca="1">IFERROR(__xludf.DUMMYFUNCTION("IMPORTRANGE(""https://docs.google.com/spreadsheets/d/1SX6NBoVAgQJ6U1MVXOaj8PK2l7WJ3RER9xtqwdhxkhw/edit?usp=sharing"",""สุพรรณบุรี!J311"")"),60)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IFERROR(__xludf.DUMMYFUNCTION("IMPORTRANGE(""https://docs.google.com/spreadsheets/d/1SX6NBoVAgQJ6U1MVXOaj8PK2l7WJ3RER9xtqwdhxkhw/edit?usp=sharing"",""สุพรรณบุรี!I312"")"),0)</f>
        <v>0</v>
      </c>
      <c r="J417" s="392">
        <f ca="1">IFERROR(__xludf.DUMMYFUNCTION("IMPORTRANGE(""https://docs.google.com/spreadsheets/d/1SX6NBoVAgQJ6U1MVXOaj8PK2l7WJ3RER9xtqwdhxkhw/edit?usp=sharing"",""สุพรรณบุรี!J312"")"),0)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IFERROR(__xludf.DUMMYFUNCTION("IMPORTRANGE(""https://docs.google.com/spreadsheets/d/1SX6NBoVAgQJ6U1MVXOaj8PK2l7WJ3RER9xtqwdhxkhw/edit?usp=sharing"",""สุพรรณบุรี!I313"")"),0)</f>
        <v>0</v>
      </c>
      <c r="J418" s="393">
        <f ca="1">IFERROR(__xludf.DUMMYFUNCTION("IMPORTRANGE(""https://docs.google.com/spreadsheets/d/1SX6NBoVAgQJ6U1MVXOaj8PK2l7WJ3RER9xtqwdhxkhw/edit?usp=sharing"",""สุพรรณบุรี!J313"")"),0)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IFERROR(__xludf.DUMMYFUNCTION("IMPORTRANGE(""https://docs.google.com/spreadsheets/d/1SX6NBoVAgQJ6U1MVXOaj8PK2l7WJ3RER9xtqwdhxkhw/edit?usp=sharing"",""สุพรรณบุรี!I314"")"),0)</f>
        <v>0</v>
      </c>
      <c r="J419" s="394">
        <f ca="1">IFERROR(__xludf.DUMMYFUNCTION("IMPORTRANGE(""https://docs.google.com/spreadsheets/d/1SX6NBoVAgQJ6U1MVXOaj8PK2l7WJ3RER9xtqwdhxkhw/edit?usp=sharing"",""สุพรรณบุรี!J314"")"),0)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IFERROR(__xludf.DUMMYFUNCTION("IMPORTRANGE(""https://docs.google.com/spreadsheets/d/1SX6NBoVAgQJ6U1MVXOaj8PK2l7WJ3RER9xtqwdhxkhw/edit?usp=sharing"",""สุพรรณบุรี!I315"")"),0)</f>
        <v>0</v>
      </c>
      <c r="J420" s="394">
        <f ca="1">IFERROR(__xludf.DUMMYFUNCTION("IMPORTRANGE(""https://docs.google.com/spreadsheets/d/1SX6NBoVAgQJ6U1MVXOaj8PK2l7WJ3RER9xtqwdhxkhw/edit?usp=sharing"",""สุพรรณบุรี!J315"")"),0)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IFERROR(__xludf.DUMMYFUNCTION("IMPORTRANGE(""https://docs.google.com/spreadsheets/d/1SX6NBoVAgQJ6U1MVXOaj8PK2l7WJ3RER9xtqwdhxkhw/edit?usp=sharing"",""สุพรรณบุรี!I316"")"),50)</f>
        <v>50</v>
      </c>
      <c r="J421" s="392">
        <f ca="1">IFERROR(__xludf.DUMMYFUNCTION("IMPORTRANGE(""https://docs.google.com/spreadsheets/d/1SX6NBoVAgQJ6U1MVXOaj8PK2l7WJ3RER9xtqwdhxkhw/edit?usp=sharing"",""สุพรรณบุรี!J316"")"),50)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IFERROR(__xludf.DUMMYFUNCTION("IMPORTRANGE(""https://docs.google.com/spreadsheets/d/1SX6NBoVAgQJ6U1MVXOaj8PK2l7WJ3RER9xtqwdhxkhw/edit?usp=sharing"",""สุพรรณบุรี!I317"")"),150)</f>
        <v>150</v>
      </c>
      <c r="J422" s="393">
        <f ca="1">IFERROR(__xludf.DUMMYFUNCTION("IMPORTRANGE(""https://docs.google.com/spreadsheets/d/1SX6NBoVAgQJ6U1MVXOaj8PK2l7WJ3RER9xtqwdhxkhw/edit?usp=sharing"",""สุพรรณบุรี!J317"")"),0)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IFERROR(__xludf.DUMMYFUNCTION("IMPORTRANGE(""https://docs.google.com/spreadsheets/d/1SX6NBoVAgQJ6U1MVXOaj8PK2l7WJ3RER9xtqwdhxkhw/edit?usp=sharing"",""สุพรรณบุรี!I318"")"),50)</f>
        <v>50</v>
      </c>
      <c r="J423" s="394">
        <f ca="1">IFERROR(__xludf.DUMMYFUNCTION("IMPORTRANGE(""https://docs.google.com/spreadsheets/d/1SX6NBoVAgQJ6U1MVXOaj8PK2l7WJ3RER9xtqwdhxkhw/edit?usp=sharing"",""สุพรรณบุรี!J318"")"),50)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IFERROR(__xludf.DUMMYFUNCTION("IMPORTRANGE(""https://docs.google.com/spreadsheets/d/1SX6NBoVAgQJ6U1MVXOaj8PK2l7WJ3RER9xtqwdhxkhw/edit?usp=sharing"",""สุพรรณบุรี!I319"")"),50)</f>
        <v>50</v>
      </c>
      <c r="J424" s="394">
        <f ca="1">IFERROR(__xludf.DUMMYFUNCTION("IMPORTRANGE(""https://docs.google.com/spreadsheets/d/1SX6NBoVAgQJ6U1MVXOaj8PK2l7WJ3RER9xtqwdhxkhw/edit?usp=sharing"",""สุพรรณบุรี!J319"")"),50)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IFERROR(__xludf.DUMMYFUNCTION("IMPORTRANGE(""https://docs.google.com/spreadsheets/d/1SX6NBoVAgQJ6U1MVXOaj8PK2l7WJ3RER9xtqwdhxkhw/edit?usp=sharing"",""สุพรรณบุรี!I320"")"),50)</f>
        <v>50</v>
      </c>
      <c r="J425" s="394">
        <f ca="1">IFERROR(__xludf.DUMMYFUNCTION("IMPORTRANGE(""https://docs.google.com/spreadsheets/d/1SX6NBoVAgQJ6U1MVXOaj8PK2l7WJ3RER9xtqwdhxkhw/edit?usp=sharing"",""สุพรรณบุรี!J320"")"),50)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IFERROR(__xludf.DUMMYFUNCTION("IMPORTRANGE(""https://docs.google.com/spreadsheets/d/1SX6NBoVAgQJ6U1MVXOaj8PK2l7WJ3RER9xtqwdhxkhw/edit?usp=sharing"",""สุพรรณบุรี!I321"")"),10)</f>
        <v>10</v>
      </c>
      <c r="J426" s="392">
        <f ca="1">IFERROR(__xludf.DUMMYFUNCTION("IMPORTRANGE(""https://docs.google.com/spreadsheets/d/1SX6NBoVAgQJ6U1MVXOaj8PK2l7WJ3RER9xtqwdhxkhw/edit?usp=sharing"",""สุพรรณบุรี!J321"")"),10)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IFERROR(__xludf.DUMMYFUNCTION("IMPORTRANGE(""https://docs.google.com/spreadsheets/d/1SX6NBoVAgQJ6U1MVXOaj8PK2l7WJ3RER9xtqwdhxkhw/edit?usp=sharing"",""สุพรรณบุรี!I322"")"),30)</f>
        <v>30</v>
      </c>
      <c r="J427" s="393">
        <f ca="1">IFERROR(__xludf.DUMMYFUNCTION("IMPORTRANGE(""https://docs.google.com/spreadsheets/d/1SX6NBoVAgQJ6U1MVXOaj8PK2l7WJ3RER9xtqwdhxkhw/edit?usp=sharing"",""สุพรรณบุรี!J322"")"),30)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IFERROR(__xludf.DUMMYFUNCTION("IMPORTRANGE(""https://docs.google.com/spreadsheets/d/1SX6NBoVAgQJ6U1MVXOaj8PK2l7WJ3RER9xtqwdhxkhw/edit?usp=sharing"",""สุพรรณบุรี!I323"")"),10)</f>
        <v>10</v>
      </c>
      <c r="J428" s="394">
        <f ca="1">IFERROR(__xludf.DUMMYFUNCTION("IMPORTRANGE(""https://docs.google.com/spreadsheets/d/1SX6NBoVAgQJ6U1MVXOaj8PK2l7WJ3RER9xtqwdhxkhw/edit?usp=sharing"",""สุพรรณบุรี!J323"")"),10)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IFERROR(__xludf.DUMMYFUNCTION("IMPORTRANGE(""https://docs.google.com/spreadsheets/d/1SX6NBoVAgQJ6U1MVXOaj8PK2l7WJ3RER9xtqwdhxkhw/edit?usp=sharing"",""สุพรรณบุรี!I324"")"),10)</f>
        <v>10</v>
      </c>
      <c r="J429" s="394">
        <f ca="1">IFERROR(__xludf.DUMMYFUNCTION("IMPORTRANGE(""https://docs.google.com/spreadsheets/d/1SX6NBoVAgQJ6U1MVXOaj8PK2l7WJ3RER9xtqwdhxkhw/edit?usp=sharing"",""สุพรรณบุรี!J324"")"),10)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IFERROR(__xludf.DUMMYFUNCTION("IMPORTRANGE(""https://docs.google.com/spreadsheets/d/1SX6NBoVAgQJ6U1MVXOaj8PK2l7WJ3RER9xtqwdhxkhw/edit?usp=sharing"",""สุพรรณบุรี!I325"")"),50)</f>
        <v>50</v>
      </c>
      <c r="J430" s="392">
        <f ca="1">IFERROR(__xludf.DUMMYFUNCTION("IMPORTRANGE(""https://docs.google.com/spreadsheets/d/1SX6NBoVAgQJ6U1MVXOaj8PK2l7WJ3RER9xtqwdhxkhw/edit?usp=sharing"",""สุพรรณบุรี!J325"")"),0)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IFERROR(__xludf.DUMMYFUNCTION("IMPORTRANGE(""https://docs.google.com/spreadsheets/d/1SX6NBoVAgQJ6U1MVXOaj8PK2l7WJ3RER9xtqwdhxkhw/edit?usp=sharing"",""สุพรรณบุรี!I326"")"),0)</f>
        <v>0</v>
      </c>
      <c r="J431" s="394">
        <f ca="1">IFERROR(__xludf.DUMMYFUNCTION("IMPORTRANGE(""https://docs.google.com/spreadsheets/d/1SX6NBoVAgQJ6U1MVXOaj8PK2l7WJ3RER9xtqwdhxkhw/edit?usp=sharing"",""สุพรรณบุรี!J326"")"),0)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IFERROR(__xludf.DUMMYFUNCTION("IMPORTRANGE(""https://docs.google.com/spreadsheets/d/1SX6NBoVAgQJ6U1MVXOaj8PK2l7WJ3RER9xtqwdhxkhw/edit?usp=sharing"",""สุพรรณบุรี!I327"")"),50)</f>
        <v>50</v>
      </c>
      <c r="J432" s="394">
        <f ca="1">IFERROR(__xludf.DUMMYFUNCTION("IMPORTRANGE(""https://docs.google.com/spreadsheets/d/1SX6NBoVAgQJ6U1MVXOaj8PK2l7WJ3RER9xtqwdhxkhw/edit?usp=sharing"",""สุพรรณบุรี!J327"")"),0)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IFERROR(__xludf.DUMMYFUNCTION("IMPORTRANGE(""https://docs.google.com/spreadsheets/d/1SX6NBoVAgQJ6U1MVXOaj8PK2l7WJ3RER9xtqwdhxkhw/edit?usp=sharing"",""สุพรรณบุรี!J328"")"),0)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IFERROR(__xludf.DUMMYFUNCTION("IMPORTRANGE(""https://docs.google.com/spreadsheets/d/1SX6NBoVAgQJ6U1MVXOaj8PK2l7WJ3RER9xtqwdhxkhw/edit?usp=sharing"",""สุพรรณบุรี!J329"")"),0)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IFERROR(__xludf.DUMMYFUNCTION("IMPORTRANGE(""https://docs.google.com/spreadsheets/d/1SX6NBoVAgQJ6U1MVXOaj8PK2l7WJ3RER9xtqwdhxkhw/edit?usp=sharing"",""สุพรรณบุรี!I330"")"),45)</f>
        <v>45</v>
      </c>
      <c r="J435" s="410">
        <f ca="1">IFERROR(__xludf.DUMMYFUNCTION("IMPORTRANGE(""https://docs.google.com/spreadsheets/d/1SX6NBoVAgQJ6U1MVXOaj8PK2l7WJ3RER9xtqwdhxkhw/edit?usp=sharing"",""สุพรรณบุรี!J330"")"),45)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IFERROR(__xludf.DUMMYFUNCTION("IMPORTRANGE(""https://docs.google.com/spreadsheets/d/1SX6NBoVAgQJ6U1MVXOaj8PK2l7WJ3RER9xtqwdhxkhw/edit?usp=sharing"",""สุพรรณบุรี!L330"")"),166500)</f>
        <v>166500</v>
      </c>
      <c r="M435" s="412"/>
      <c r="N435" s="412">
        <f ca="1">IFERROR(__xludf.DUMMYFUNCTION("IMPORTRANGE(""https://docs.google.com/spreadsheets/d/1SX6NBoVAgQJ6U1MVXOaj8PK2l7WJ3RER9xtqwdhxkhw/edit?usp=sharing"",""สุพรรณบุรี!M330"")"),159500)</f>
        <v>159500</v>
      </c>
      <c r="O435" s="412">
        <f t="shared" ref="O435:O439" ca="1" si="114">+IF(L435&gt;0,N435*100/L435,0)</f>
        <v>95.795795795795797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IFERROR(__xludf.DUMMYFUNCTION("IMPORTRANGE(""https://docs.google.com/spreadsheets/d/1SX6NBoVAgQJ6U1MVXOaj8PK2l7WJ3RER9xtqwdhxkhw/edit?usp=sharing"",""สุพรรณบุรี!L331"")"),0)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IFERROR(__xludf.DUMMYFUNCTION("IMPORTRANGE(""https://docs.google.com/spreadsheets/d/1SX6NBoVAgQJ6U1MVXOaj8PK2l7WJ3RER9xtqwdhxkhw/edit?usp=sharing"",""สุพรรณบุรี!M331"")"),0)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IFERROR(__xludf.DUMMYFUNCTION("IMPORTRANGE(""https://docs.google.com/spreadsheets/d/1SX6NBoVAgQJ6U1MVXOaj8PK2l7WJ3RER9xtqwdhxkhw/edit?usp=sharing"",""สุพรรณบุรี!L332"")"),166500)</f>
        <v>166500</v>
      </c>
      <c r="M437" s="165"/>
      <c r="N437" s="169">
        <f ca="1">IFERROR(__xludf.DUMMYFUNCTION("IMPORTRANGE(""https://docs.google.com/spreadsheets/d/1SX6NBoVAgQJ6U1MVXOaj8PK2l7WJ3RER9xtqwdhxkhw/edit?usp=sharing"",""สุพรรณบุรี!M332"")"),159500)</f>
        <v>159500</v>
      </c>
      <c r="O437" s="169">
        <f t="shared" ca="1" si="114"/>
        <v>95.795795795795797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IFERROR(__xludf.DUMMYFUNCTION("IMPORTRANGE(""https://docs.google.com/spreadsheets/d/1SX6NBoVAgQJ6U1MVXOaj8PK2l7WJ3RER9xtqwdhxkhw/edit?usp=sharing"",""สุพรรณบุรี!L333"")"),0)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IFERROR(__xludf.DUMMYFUNCTION("IMPORTRANGE(""https://docs.google.com/spreadsheets/d/1SX6NBoVAgQJ6U1MVXOaj8PK2l7WJ3RER9xtqwdhxkhw/edit?usp=sharing"",""สุพรรณบุรี!M333"")"),0)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IFERROR(__xludf.DUMMYFUNCTION("IMPORTRANGE(""https://docs.google.com/spreadsheets/d/1SX6NBoVAgQJ6U1MVXOaj8PK2l7WJ3RER9xtqwdhxkhw/edit?usp=sharing"",""สุพรรณบุรี!L334"")"),166500)</f>
        <v>166500</v>
      </c>
      <c r="M439" s="169"/>
      <c r="N439" s="169">
        <f ca="1">IFERROR(__xludf.DUMMYFUNCTION("IMPORTRANGE(""https://docs.google.com/spreadsheets/d/1SX6NBoVAgQJ6U1MVXOaj8PK2l7WJ3RER9xtqwdhxkhw/edit?usp=sharing"",""สุพรรณบุรี!M334"")"),159500)</f>
        <v>159500</v>
      </c>
      <c r="O439" s="169">
        <f t="shared" ca="1" si="114"/>
        <v>95.795795795795797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IFERROR(__xludf.DUMMYFUNCTION("IMPORTRANGE(""https://docs.google.com/spreadsheets/d/1SX6NBoVAgQJ6U1MVXOaj8PK2l7WJ3RER9xtqwdhxkhw/edit?usp=sharing"",""สุพรรณบุรี!M335"")"),118250)</f>
        <v>118250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IFERROR(__xludf.DUMMYFUNCTION("IMPORTRANGE(""https://docs.google.com/spreadsheets/d/1SX6NBoVAgQJ6U1MVXOaj8PK2l7WJ3RER9xtqwdhxkhw/edit?usp=sharing"",""สุพรรณบุรี!M336"")"),0)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IFERROR(__xludf.DUMMYFUNCTION("IMPORTRANGE(""https://docs.google.com/spreadsheets/d/1SX6NBoVAgQJ6U1MVXOaj8PK2l7WJ3RER9xtqwdhxkhw/edit?usp=sharing"",""สุพรรณบุรี!M337"")"),0)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IFERROR(__xludf.DUMMYFUNCTION("IMPORTRANGE(""https://docs.google.com/spreadsheets/d/1SX6NBoVAgQJ6U1MVXOaj8PK2l7WJ3RER9xtqwdhxkhw/edit?usp=sharing"",""สุพรรณบุรี!M338"")"),41250)</f>
        <v>41250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IFERROR(__xludf.DUMMYFUNCTION("IMPORTRANGE(""https://docs.google.com/spreadsheets/d/1SX6NBoVAgQJ6U1MVXOaj8PK2l7WJ3RER9xtqwdhxkhw/edit?usp=sharing"",""สุพรรณบุรี!J340"")"),0)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IFERROR(__xludf.DUMMYFUNCTION("IMPORTRANGE(""https://docs.google.com/spreadsheets/d/1SX6NBoVAgQJ6U1MVXOaj8PK2l7WJ3RER9xtqwdhxkhw/edit?usp=sharing"",""สุพรรณบุรี!J341"")"),1)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IFERROR(__xludf.DUMMYFUNCTION("IMPORTRANGE(""https://docs.google.com/spreadsheets/d/1SX6NBoVAgQJ6U1MVXOaj8PK2l7WJ3RER9xtqwdhxkhw/edit?usp=sharing"",""สุพรรณบุรี!J342"")"),1)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IFERROR(__xludf.DUMMYFUNCTION("IMPORTRANGE(""https://docs.google.com/spreadsheets/d/1SX6NBoVAgQJ6U1MVXOaj8PK2l7WJ3RER9xtqwdhxkhw/edit?usp=sharing"",""สุพรรณบุรี!J343"")"),1)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IFERROR(__xludf.DUMMYFUNCTION("IMPORTRANGE(""https://docs.google.com/spreadsheets/d/1SX6NBoVAgQJ6U1MVXOaj8PK2l7WJ3RER9xtqwdhxkhw/edit?usp=sharing"",""สุพรรณบุรี!I344"")"),45)</f>
        <v>45</v>
      </c>
      <c r="J449" s="201">
        <f ca="1">IFERROR(__xludf.DUMMYFUNCTION("IMPORTRANGE(""https://docs.google.com/spreadsheets/d/1SX6NBoVAgQJ6U1MVXOaj8PK2l7WJ3RER9xtqwdhxkhw/edit?usp=sharing"",""สุพรรณบุรี!J344"")"),45)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IFERROR(__xludf.DUMMYFUNCTION("IMPORTRANGE(""https://docs.google.com/spreadsheets/d/1SX6NBoVAgQJ6U1MVXOaj8PK2l7WJ3RER9xtqwdhxkhw/edit?usp=sharing"",""สุพรรณบุรี!I345"")"),15)</f>
        <v>15</v>
      </c>
      <c r="J450" s="189">
        <f ca="1">IFERROR(__xludf.DUMMYFUNCTION("IMPORTRANGE(""https://docs.google.com/spreadsheets/d/1SX6NBoVAgQJ6U1MVXOaj8PK2l7WJ3RER9xtqwdhxkhw/edit?usp=sharing"",""สุพรรณบุรี!J345"")"),15)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IFERROR(__xludf.DUMMYFUNCTION("IMPORTRANGE(""https://docs.google.com/spreadsheets/d/1SX6NBoVAgQJ6U1MVXOaj8PK2l7WJ3RER9xtqwdhxkhw/edit?usp=sharing"",""สุพรรณบุรี!I346"")"),30)</f>
        <v>30</v>
      </c>
      <c r="J451" s="188">
        <f ca="1">IFERROR(__xludf.DUMMYFUNCTION("IMPORTRANGE(""https://docs.google.com/spreadsheets/d/1SX6NBoVAgQJ6U1MVXOaj8PK2l7WJ3RER9xtqwdhxkhw/edit?usp=sharing"",""สุพรรณบุรี!J346"")"),30)</f>
        <v>30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IFERROR(__xludf.DUMMYFUNCTION("IMPORTRANGE(""https://docs.google.com/spreadsheets/d/1SX6NBoVAgQJ6U1MVXOaj8PK2l7WJ3RER9xtqwdhxkhw/edit?usp=sharing"",""สุพรรณบุรี!I347"")"),0)</f>
        <v>0</v>
      </c>
      <c r="J452" s="188">
        <f ca="1">IFERROR(__xludf.DUMMYFUNCTION("IMPORTRANGE(""https://docs.google.com/spreadsheets/d/1SX6NBoVAgQJ6U1MVXOaj8PK2l7WJ3RER9xtqwdhxkhw/edit?usp=sharing"",""สุพรรณบุรี!J347"")"),0)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IFERROR(__xludf.DUMMYFUNCTION("IMPORTRANGE(""https://docs.google.com/spreadsheets/d/1SX6NBoVAgQJ6U1MVXOaj8PK2l7WJ3RER9xtqwdhxkhw/edit?usp=sharing"",""สุพรรณบุรี!J348"")"),0)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IFERROR(__xludf.DUMMYFUNCTION("IMPORTRANGE(""https://docs.google.com/spreadsheets/d/1SX6NBoVAgQJ6U1MVXOaj8PK2l7WJ3RER9xtqwdhxkhw/edit?usp=sharing"",""สุพรรณบุรี!J349"")"),0)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IFERROR(__xludf.DUMMYFUNCTION("IMPORTRANGE(""https://docs.google.com/spreadsheets/d/1SX6NBoVAgQJ6U1MVXOaj8PK2l7WJ3RER9xtqwdhxkhw/edit?usp=sharing"",""สุพรรณบุรี!I350"")"),37350)</f>
        <v>37350</v>
      </c>
      <c r="J455" s="371">
        <f ca="1">IFERROR(__xludf.DUMMYFUNCTION("IMPORTRANGE(""https://docs.google.com/spreadsheets/d/1SX6NBoVAgQJ6U1MVXOaj8PK2l7WJ3RER9xtqwdhxkhw/edit?usp=sharing"",""สุพรรณบุรี!J350"")"),37350)</f>
        <v>37350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IFERROR(__xludf.DUMMYFUNCTION("IMPORTRANGE(""https://docs.google.com/spreadsheets/d/1SX6NBoVAgQJ6U1MVXOaj8PK2l7WJ3RER9xtqwdhxkhw/edit?usp=sharing"",""สุพรรณบุรี!L350"")"),473295)</f>
        <v>473295</v>
      </c>
      <c r="M455" s="373"/>
      <c r="N455" s="373">
        <f ca="1">IFERROR(__xludf.DUMMYFUNCTION("IMPORTRANGE(""https://docs.google.com/spreadsheets/d/1SX6NBoVAgQJ6U1MVXOaj8PK2l7WJ3RER9xtqwdhxkhw/edit?usp=sharing"",""สุพรรณบุรี!M350"")"),110076.73)</f>
        <v>110076.73</v>
      </c>
      <c r="O455" s="373">
        <f t="shared" ref="O455:O459" ca="1" si="116">+IF(L455&gt;0,N455*100/L455,0)</f>
        <v>23.257530715515692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IFERROR(__xludf.DUMMYFUNCTION("IMPORTRANGE(""https://docs.google.com/spreadsheets/d/1SX6NBoVAgQJ6U1MVXOaj8PK2l7WJ3RER9xtqwdhxkhw/edit?usp=sharing"",""สุพรรณบุรี!L351"")"),0)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IFERROR(__xludf.DUMMYFUNCTION("IMPORTRANGE(""https://docs.google.com/spreadsheets/d/1SX6NBoVAgQJ6U1MVXOaj8PK2l7WJ3RER9xtqwdhxkhw/edit?usp=sharing"",""สุพรรณบุรี!M351"")"),0)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IFERROR(__xludf.DUMMYFUNCTION("IMPORTRANGE(""https://docs.google.com/spreadsheets/d/1SX6NBoVAgQJ6U1MVXOaj8PK2l7WJ3RER9xtqwdhxkhw/edit?usp=sharing"",""สุพรรณบุรี!L352"")"),473295)</f>
        <v>473295</v>
      </c>
      <c r="M457" s="165"/>
      <c r="N457" s="169">
        <f ca="1">IFERROR(__xludf.DUMMYFUNCTION("IMPORTRANGE(""https://docs.google.com/spreadsheets/d/1SX6NBoVAgQJ6U1MVXOaj8PK2l7WJ3RER9xtqwdhxkhw/edit?usp=sharing"",""สุพรรณบุรี!M352"")"),110076.73)</f>
        <v>110076.73</v>
      </c>
      <c r="O457" s="169">
        <f t="shared" ca="1" si="116"/>
        <v>23.257530715515692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IFERROR(__xludf.DUMMYFUNCTION("IMPORTRANGE(""https://docs.google.com/spreadsheets/d/1SX6NBoVAgQJ6U1MVXOaj8PK2l7WJ3RER9xtqwdhxkhw/edit?usp=sharing"",""สุพรรณบุรี!L353"")"),0)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IFERROR(__xludf.DUMMYFUNCTION("IMPORTRANGE(""https://docs.google.com/spreadsheets/d/1SX6NBoVAgQJ6U1MVXOaj8PK2l7WJ3RER9xtqwdhxkhw/edit?usp=sharing"",""สุพรรณบุรี!M353"")"),0)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IFERROR(__xludf.DUMMYFUNCTION("IMPORTRANGE(""https://docs.google.com/spreadsheets/d/1SX6NBoVAgQJ6U1MVXOaj8PK2l7WJ3RER9xtqwdhxkhw/edit?usp=sharing"",""สุพรรณบุรี!L354"")"),473295)</f>
        <v>473295</v>
      </c>
      <c r="M459" s="169"/>
      <c r="N459" s="169">
        <f ca="1">IFERROR(__xludf.DUMMYFUNCTION("IMPORTRANGE(""https://docs.google.com/spreadsheets/d/1SX6NBoVAgQJ6U1MVXOaj8PK2l7WJ3RER9xtqwdhxkhw/edit?usp=sharing"",""สุพรรณบุรี!M354"")"),110076.73)</f>
        <v>110076.73</v>
      </c>
      <c r="O459" s="169">
        <f t="shared" ca="1" si="116"/>
        <v>23.257530715515692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IFERROR(__xludf.DUMMYFUNCTION("IMPORTRANGE(""https://docs.google.com/spreadsheets/d/1SX6NBoVAgQJ6U1MVXOaj8PK2l7WJ3RER9xtqwdhxkhw/edit?usp=sharing"",""สุพรรณบุรี!M355"")"),0)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IFERROR(__xludf.DUMMYFUNCTION("IMPORTRANGE(""https://docs.google.com/spreadsheets/d/1SX6NBoVAgQJ6U1MVXOaj8PK2l7WJ3RER9xtqwdhxkhw/edit?usp=sharing"",""สุพรรณบุรี!M356"")"),0)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IFERROR(__xludf.DUMMYFUNCTION("IMPORTRANGE(""https://docs.google.com/spreadsheets/d/1SX6NBoVAgQJ6U1MVXOaj8PK2l7WJ3RER9xtqwdhxkhw/edit?usp=sharing"",""สุพรรณบุรี!M357"")"),70838.73)</f>
        <v>70838.73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IFERROR(__xludf.DUMMYFUNCTION("IMPORTRANGE(""https://docs.google.com/spreadsheets/d/1SX6NBoVAgQJ6U1MVXOaj8PK2l7WJ3RER9xtqwdhxkhw/edit?usp=sharing"",""สุพรรณบุรี!M358"")"),39238)</f>
        <v>39238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IFERROR(__xludf.DUMMYFUNCTION("IMPORTRANGE(""https://docs.google.com/spreadsheets/d/1SX6NBoVAgQJ6U1MVXOaj8PK2l7WJ3RER9xtqwdhxkhw/edit?usp=sharing"",""สุพรรณบุรี!I359"")"),37350)</f>
        <v>37350</v>
      </c>
      <c r="J464" s="267">
        <f ca="1">IFERROR(__xludf.DUMMYFUNCTION("IMPORTRANGE(""https://docs.google.com/spreadsheets/d/1SX6NBoVAgQJ6U1MVXOaj8PK2l7WJ3RER9xtqwdhxkhw/edit?usp=sharing"",""สุพรรณบุรี!J359"")"),37350)</f>
        <v>37350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IFERROR(__xludf.DUMMYFUNCTION("IMPORTRANGE(""https://docs.google.com/spreadsheets/d/1SX6NBoVAgQJ6U1MVXOaj8PK2l7WJ3RER9xtqwdhxkhw/edit?usp=sharing"",""สุพรรณบุรี!I360"")"),37350)</f>
        <v>37350</v>
      </c>
      <c r="J465" s="420">
        <f ca="1">IFERROR(__xludf.DUMMYFUNCTION("IMPORTRANGE(""https://docs.google.com/spreadsheets/d/1SX6NBoVAgQJ6U1MVXOaj8PK2l7WJ3RER9xtqwdhxkhw/edit?usp=sharing"",""สุพรรณบุรี!J360"")"),37349.6)</f>
        <v>37349.599999999999</v>
      </c>
      <c r="K465" s="202">
        <f t="shared" ca="1" si="117"/>
        <v>99.998929049531455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IFERROR(__xludf.DUMMYFUNCTION("IMPORTRANGE(""https://docs.google.com/spreadsheets/d/1SX6NBoVAgQJ6U1MVXOaj8PK2l7WJ3RER9xtqwdhxkhw/edit?usp=sharing"",""สุพรรณบุรี!I361"")"),5113)</f>
        <v>5113</v>
      </c>
      <c r="J466" s="420">
        <f ca="1">IFERROR(__xludf.DUMMYFUNCTION("IMPORTRANGE(""https://docs.google.com/spreadsheets/d/1SX6NBoVAgQJ6U1MVXOaj8PK2l7WJ3RER9xtqwdhxkhw/edit?usp=sharing"",""สุพรรณบุรี!J361"")"),5113)</f>
        <v>5113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IFERROR(__xludf.DUMMYFUNCTION("IMPORTRANGE(""https://docs.google.com/spreadsheets/d/1SX6NBoVAgQJ6U1MVXOaj8PK2l7WJ3RER9xtqwdhxkhw/edit?usp=sharing"",""สุพรรณบุรี!I362"")"),0)</f>
        <v>0</v>
      </c>
      <c r="J467" s="189">
        <f ca="1">IFERROR(__xludf.DUMMYFUNCTION("IMPORTRANGE(""https://docs.google.com/spreadsheets/d/1SX6NBoVAgQJ6U1MVXOaj8PK2l7WJ3RER9xtqwdhxkhw/edit?usp=sharing"",""สุพรรณบุรี!J362"")"),31100)</f>
        <v>31100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IFERROR(__xludf.DUMMYFUNCTION("IMPORTRANGE(""https://docs.google.com/spreadsheets/d/1SX6NBoVAgQJ6U1MVXOaj8PK2l7WJ3RER9xtqwdhxkhw/edit?usp=sharing"",""สุพรรณบุรี!I363"")"),0)</f>
        <v>0</v>
      </c>
      <c r="J468" s="189">
        <f ca="1">IFERROR(__xludf.DUMMYFUNCTION("IMPORTRANGE(""https://docs.google.com/spreadsheets/d/1SX6NBoVAgQJ6U1MVXOaj8PK2l7WJ3RER9xtqwdhxkhw/edit?usp=sharing"",""สุพรรณบุรี!J363"")"),4367)</f>
        <v>4367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IFERROR(__xludf.DUMMYFUNCTION("IMPORTRANGE(""https://docs.google.com/spreadsheets/d/1SX6NBoVAgQJ6U1MVXOaj8PK2l7WJ3RER9xtqwdhxkhw/edit?usp=sharing"",""สุพรรณบุรี!I364"")"),0)</f>
        <v>0</v>
      </c>
      <c r="J469" s="189">
        <f ca="1">IFERROR(__xludf.DUMMYFUNCTION("IMPORTRANGE(""https://docs.google.com/spreadsheets/d/1SX6NBoVAgQJ6U1MVXOaj8PK2l7WJ3RER9xtqwdhxkhw/edit?usp=sharing"",""สุพรรณบุรี!J364"")"),5907.1)</f>
        <v>5907.1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IFERROR(__xludf.DUMMYFUNCTION("IMPORTRANGE(""https://docs.google.com/spreadsheets/d/1SX6NBoVAgQJ6U1MVXOaj8PK2l7WJ3RER9xtqwdhxkhw/edit?usp=sharing"",""สุพรรณบุรี!I365"")"),0)</f>
        <v>0</v>
      </c>
      <c r="J470" s="189">
        <f ca="1">IFERROR(__xludf.DUMMYFUNCTION("IMPORTRANGE(""https://docs.google.com/spreadsheets/d/1SX6NBoVAgQJ6U1MVXOaj8PK2l7WJ3RER9xtqwdhxkhw/edit?usp=sharing"",""สุพรรณบุรี!J365"")"),699)</f>
        <v>699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IFERROR(__xludf.DUMMYFUNCTION("IMPORTRANGE(""https://docs.google.com/spreadsheets/d/1SX6NBoVAgQJ6U1MVXOaj8PK2l7WJ3RER9xtqwdhxkhw/edit?usp=sharing"",""สุพรรณบุรี!I366"")"),0)</f>
        <v>0</v>
      </c>
      <c r="J471" s="189">
        <f ca="1">IFERROR(__xludf.DUMMYFUNCTION("IMPORTRANGE(""https://docs.google.com/spreadsheets/d/1SX6NBoVAgQJ6U1MVXOaj8PK2l7WJ3RER9xtqwdhxkhw/edit?usp=sharing"",""สุพรรณบุรี!J366"")"),342.5)</f>
        <v>342.5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IFERROR(__xludf.DUMMYFUNCTION("IMPORTRANGE(""https://docs.google.com/spreadsheets/d/1SX6NBoVAgQJ6U1MVXOaj8PK2l7WJ3RER9xtqwdhxkhw/edit?usp=sharing"",""สุพรรณบุรี!I367"")"),0)</f>
        <v>0</v>
      </c>
      <c r="J472" s="189">
        <f ca="1">IFERROR(__xludf.DUMMYFUNCTION("IMPORTRANGE(""https://docs.google.com/spreadsheets/d/1SX6NBoVAgQJ6U1MVXOaj8PK2l7WJ3RER9xtqwdhxkhw/edit?usp=sharing"",""สุพรรณบุรี!J367"")"),47)</f>
        <v>47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IFERROR(__xludf.DUMMYFUNCTION("IMPORTRANGE(""https://docs.google.com/spreadsheets/d/1SX6NBoVAgQJ6U1MVXOaj8PK2l7WJ3RER9xtqwdhxkhw/edit?usp=sharing"",""สุพรรณบุรี!I368"")"),37350)</f>
        <v>37350</v>
      </c>
      <c r="J473" s="420">
        <f ca="1">IFERROR(__xludf.DUMMYFUNCTION("IMPORTRANGE(""https://docs.google.com/spreadsheets/d/1SX6NBoVAgQJ6U1MVXOaj8PK2l7WJ3RER9xtqwdhxkhw/edit?usp=sharing"",""สุพรรณบุรี!J368"")"),37350)</f>
        <v>37350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IFERROR(__xludf.DUMMYFUNCTION("IMPORTRANGE(""https://docs.google.com/spreadsheets/d/1SX6NBoVAgQJ6U1MVXOaj8PK2l7WJ3RER9xtqwdhxkhw/edit?usp=sharing"",""สุพรรณบุรี!I369"")"),5113)</f>
        <v>5113</v>
      </c>
      <c r="J474" s="420">
        <f ca="1">IFERROR(__xludf.DUMMYFUNCTION("IMPORTRANGE(""https://docs.google.com/spreadsheets/d/1SX6NBoVAgQJ6U1MVXOaj8PK2l7WJ3RER9xtqwdhxkhw/edit?usp=sharing"",""สุพรรณบุรี!J369"")"),5113)</f>
        <v>5113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IFERROR(__xludf.DUMMYFUNCTION("IMPORTRANGE(""https://docs.google.com/spreadsheets/d/1SX6NBoVAgQJ6U1MVXOaj8PK2l7WJ3RER9xtqwdhxkhw/edit?usp=sharing"",""สุพรรณบุรี!I370"")"),0)</f>
        <v>0</v>
      </c>
      <c r="J475" s="189">
        <f ca="1">IFERROR(__xludf.DUMMYFUNCTION("IMPORTRANGE(""https://docs.google.com/spreadsheets/d/1SX6NBoVAgQJ6U1MVXOaj8PK2l7WJ3RER9xtqwdhxkhw/edit?usp=sharing"",""สุพรรณบุรี!J370"")"),32792)</f>
        <v>32792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IFERROR(__xludf.DUMMYFUNCTION("IMPORTRANGE(""https://docs.google.com/spreadsheets/d/1SX6NBoVAgQJ6U1MVXOaj8PK2l7WJ3RER9xtqwdhxkhw/edit?usp=sharing"",""สุพรรณบุรี!I371"")"),0)</f>
        <v>0</v>
      </c>
      <c r="J476" s="189">
        <f ca="1">IFERROR(__xludf.DUMMYFUNCTION("IMPORTRANGE(""https://docs.google.com/spreadsheets/d/1SX6NBoVAgQJ6U1MVXOaj8PK2l7WJ3RER9xtqwdhxkhw/edit?usp=sharing"",""สุพรรณบุรี!J371"")"),4547)</f>
        <v>4547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IFERROR(__xludf.DUMMYFUNCTION("IMPORTRANGE(""https://docs.google.com/spreadsheets/d/1SX6NBoVAgQJ6U1MVXOaj8PK2l7WJ3RER9xtqwdhxkhw/edit?usp=sharing"",""สุพรรณบุรี!I372"")"),0)</f>
        <v>0</v>
      </c>
      <c r="J477" s="189">
        <f ca="1">IFERROR(__xludf.DUMMYFUNCTION("IMPORTRANGE(""https://docs.google.com/spreadsheets/d/1SX6NBoVAgQJ6U1MVXOaj8PK2l7WJ3RER9xtqwdhxkhw/edit?usp=sharing"",""สุพรรณบุรี!J372"")"),4097)</f>
        <v>4097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IFERROR(__xludf.DUMMYFUNCTION("IMPORTRANGE(""https://docs.google.com/spreadsheets/d/1SX6NBoVAgQJ6U1MVXOaj8PK2l7WJ3RER9xtqwdhxkhw/edit?usp=sharing"",""สุพรรณบุรี!I373"")"),0)</f>
        <v>0</v>
      </c>
      <c r="J478" s="189">
        <f ca="1">IFERROR(__xludf.DUMMYFUNCTION("IMPORTRANGE(""https://docs.google.com/spreadsheets/d/1SX6NBoVAgQJ6U1MVXOaj8PK2l7WJ3RER9xtqwdhxkhw/edit?usp=sharing"",""สุพรรณบุรี!J373"")"),489)</f>
        <v>489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IFERROR(__xludf.DUMMYFUNCTION("IMPORTRANGE(""https://docs.google.com/spreadsheets/d/1SX6NBoVAgQJ6U1MVXOaj8PK2l7WJ3RER9xtqwdhxkhw/edit?usp=sharing"",""สุพรรณบุรี!I374"")"),0)</f>
        <v>0</v>
      </c>
      <c r="J479" s="189">
        <f ca="1">IFERROR(__xludf.DUMMYFUNCTION("IMPORTRANGE(""https://docs.google.com/spreadsheets/d/1SX6NBoVAgQJ6U1MVXOaj8PK2l7WJ3RER9xtqwdhxkhw/edit?usp=sharing"",""สุพรรณบุรี!J374"")"),461)</f>
        <v>461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IFERROR(__xludf.DUMMYFUNCTION("IMPORTRANGE(""https://docs.google.com/spreadsheets/d/1SX6NBoVAgQJ6U1MVXOaj8PK2l7WJ3RER9xtqwdhxkhw/edit?usp=sharing"",""สุพรรณบุรี!I375"")"),0)</f>
        <v>0</v>
      </c>
      <c r="J480" s="189">
        <f ca="1">IFERROR(__xludf.DUMMYFUNCTION("IMPORTRANGE(""https://docs.google.com/spreadsheets/d/1SX6NBoVAgQJ6U1MVXOaj8PK2l7WJ3RER9xtqwdhxkhw/edit?usp=sharing"",""สุพรรณบุรี!J375"")"),77)</f>
        <v>77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IFERROR(__xludf.DUMMYFUNCTION("IMPORTRANGE(""https://docs.google.com/spreadsheets/d/1SX6NBoVAgQJ6U1MVXOaj8PK2l7WJ3RER9xtqwdhxkhw/edit?usp=sharing"",""สุพรรณบุรี!I376"")"),37350)</f>
        <v>37350</v>
      </c>
      <c r="J481" s="420">
        <f ca="1">IFERROR(__xludf.DUMMYFUNCTION("IMPORTRANGE(""https://docs.google.com/spreadsheets/d/1SX6NBoVAgQJ6U1MVXOaj8PK2l7WJ3RER9xtqwdhxkhw/edit?usp=sharing"",""สุพรรณบุรี!J376"")"),37350)</f>
        <v>37350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IFERROR(__xludf.DUMMYFUNCTION("IMPORTRANGE(""https://docs.google.com/spreadsheets/d/1SX6NBoVAgQJ6U1MVXOaj8PK2l7WJ3RER9xtqwdhxkhw/edit?usp=sharing"",""สุพรรณบุรี!I377"")"),5113)</f>
        <v>5113</v>
      </c>
      <c r="J482" s="420">
        <f ca="1">IFERROR(__xludf.DUMMYFUNCTION("IMPORTRANGE(""https://docs.google.com/spreadsheets/d/1SX6NBoVAgQJ6U1MVXOaj8PK2l7WJ3RER9xtqwdhxkhw/edit?usp=sharing"",""สุพรรณบุรี!J377"")"),5113)</f>
        <v>5113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IFERROR(__xludf.DUMMYFUNCTION("IMPORTRANGE(""https://docs.google.com/spreadsheets/d/1SX6NBoVAgQJ6U1MVXOaj8PK2l7WJ3RER9xtqwdhxkhw/edit?usp=sharing"",""สุพรรณบุรี!I378"")"),0)</f>
        <v>0</v>
      </c>
      <c r="J483" s="189">
        <f ca="1">IFERROR(__xludf.DUMMYFUNCTION("IMPORTRANGE(""https://docs.google.com/spreadsheets/d/1SX6NBoVAgQJ6U1MVXOaj8PK2l7WJ3RER9xtqwdhxkhw/edit?usp=sharing"",""สุพรรณบุรี!J378"")"),32792)</f>
        <v>32792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IFERROR(__xludf.DUMMYFUNCTION("IMPORTRANGE(""https://docs.google.com/spreadsheets/d/1SX6NBoVAgQJ6U1MVXOaj8PK2l7WJ3RER9xtqwdhxkhw/edit?usp=sharing"",""สุพรรณบุรี!I379"")"),0)</f>
        <v>0</v>
      </c>
      <c r="J484" s="189">
        <f ca="1">IFERROR(__xludf.DUMMYFUNCTION("IMPORTRANGE(""https://docs.google.com/spreadsheets/d/1SX6NBoVAgQJ6U1MVXOaj8PK2l7WJ3RER9xtqwdhxkhw/edit?usp=sharing"",""สุพรรณบุรี!J379"")"),4547)</f>
        <v>4547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IFERROR(__xludf.DUMMYFUNCTION("IMPORTRANGE(""https://docs.google.com/spreadsheets/d/1SX6NBoVAgQJ6U1MVXOaj8PK2l7WJ3RER9xtqwdhxkhw/edit?usp=sharing"",""สุพรรณบุรี!I380"")"),0)</f>
        <v>0</v>
      </c>
      <c r="J485" s="189">
        <f ca="1">IFERROR(__xludf.DUMMYFUNCTION("IMPORTRANGE(""https://docs.google.com/spreadsheets/d/1SX6NBoVAgQJ6U1MVXOaj8PK2l7WJ3RER9xtqwdhxkhw/edit?usp=sharing"",""สุพรรณบุรี!J380"")"),4097)</f>
        <v>4097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IFERROR(__xludf.DUMMYFUNCTION("IMPORTRANGE(""https://docs.google.com/spreadsheets/d/1SX6NBoVAgQJ6U1MVXOaj8PK2l7WJ3RER9xtqwdhxkhw/edit?usp=sharing"",""สุพรรณบุรี!I381"")"),0)</f>
        <v>0</v>
      </c>
      <c r="J486" s="189">
        <f ca="1">IFERROR(__xludf.DUMMYFUNCTION("IMPORTRANGE(""https://docs.google.com/spreadsheets/d/1SX6NBoVAgQJ6U1MVXOaj8PK2l7WJ3RER9xtqwdhxkhw/edit?usp=sharing"",""สุพรรณบุรี!J381"")"),489)</f>
        <v>489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IFERROR(__xludf.DUMMYFUNCTION("IMPORTRANGE(""https://docs.google.com/spreadsheets/d/1SX6NBoVAgQJ6U1MVXOaj8PK2l7WJ3RER9xtqwdhxkhw/edit?usp=sharing"",""สุพรรณบุรี!I382"")"),0)</f>
        <v>0</v>
      </c>
      <c r="J487" s="420">
        <f ca="1">IFERROR(__xludf.DUMMYFUNCTION("IMPORTRANGE(""https://docs.google.com/spreadsheets/d/1SX6NBoVAgQJ6U1MVXOaj8PK2l7WJ3RER9xtqwdhxkhw/edit?usp=sharing"",""สุพรรณบุรี!J382"")"),461)</f>
        <v>461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IFERROR(__xludf.DUMMYFUNCTION("IMPORTRANGE(""https://docs.google.com/spreadsheets/d/1SX6NBoVAgQJ6U1MVXOaj8PK2l7WJ3RER9xtqwdhxkhw/edit?usp=sharing"",""สุพรรณบุรี!I383"")"),0)</f>
        <v>0</v>
      </c>
      <c r="J488" s="420">
        <f ca="1">IFERROR(__xludf.DUMMYFUNCTION("IMPORTRANGE(""https://docs.google.com/spreadsheets/d/1SX6NBoVAgQJ6U1MVXOaj8PK2l7WJ3RER9xtqwdhxkhw/edit?usp=sharing"",""สุพรรณบุรี!J383"")"),77)</f>
        <v>77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IFERROR(__xludf.DUMMYFUNCTION("IMPORTRANGE(""https://docs.google.com/spreadsheets/d/1SX6NBoVAgQJ6U1MVXOaj8PK2l7WJ3RER9xtqwdhxkhw/edit?usp=sharing"",""สุพรรณบุรี!I384"")"),0)</f>
        <v>0</v>
      </c>
      <c r="J489" s="189">
        <f ca="1">IFERROR(__xludf.DUMMYFUNCTION("IMPORTRANGE(""https://docs.google.com/spreadsheets/d/1SX6NBoVAgQJ6U1MVXOaj8PK2l7WJ3RER9xtqwdhxkhw/edit?usp=sharing"",""สุพรรณบุรี!J384"")"),461)</f>
        <v>461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IFERROR(__xludf.DUMMYFUNCTION("IMPORTRANGE(""https://docs.google.com/spreadsheets/d/1SX6NBoVAgQJ6U1MVXOaj8PK2l7WJ3RER9xtqwdhxkhw/edit?usp=sharing"",""สุพรรณบุรี!I385"")"),0)</f>
        <v>0</v>
      </c>
      <c r="J490" s="189">
        <f ca="1">IFERROR(__xludf.DUMMYFUNCTION("IMPORTRANGE(""https://docs.google.com/spreadsheets/d/1SX6NBoVAgQJ6U1MVXOaj8PK2l7WJ3RER9xtqwdhxkhw/edit?usp=sharing"",""สุพรรณบุรี!J385"")"),77)</f>
        <v>77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IFERROR(__xludf.DUMMYFUNCTION("IMPORTRANGE(""https://docs.google.com/spreadsheets/d/1SX6NBoVAgQJ6U1MVXOaj8PK2l7WJ3RER9xtqwdhxkhw/edit?usp=sharing"",""สุพรรณบุรี!I386"")"),0)</f>
        <v>0</v>
      </c>
      <c r="J491" s="189">
        <f ca="1">IFERROR(__xludf.DUMMYFUNCTION("IMPORTRANGE(""https://docs.google.com/spreadsheets/d/1SX6NBoVAgQJ6U1MVXOaj8PK2l7WJ3RER9xtqwdhxkhw/edit?usp=sharing"",""สุพรรณบุรี!J386"")"),0)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IFERROR(__xludf.DUMMYFUNCTION("IMPORTRANGE(""https://docs.google.com/spreadsheets/d/1SX6NBoVAgQJ6U1MVXOaj8PK2l7WJ3RER9xtqwdhxkhw/edit?usp=sharing"",""สุพรรณบุรี!I387"")"),0)</f>
        <v>0</v>
      </c>
      <c r="J492" s="189">
        <f ca="1">IFERROR(__xludf.DUMMYFUNCTION("IMPORTRANGE(""https://docs.google.com/spreadsheets/d/1SX6NBoVAgQJ6U1MVXOaj8PK2l7WJ3RER9xtqwdhxkhw/edit?usp=sharing"",""สุพรรณบุรี!J387"")"),0)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IFERROR(__xludf.DUMMYFUNCTION("IMPORTRANGE(""https://docs.google.com/spreadsheets/d/1SX6NBoVAgQJ6U1MVXOaj8PK2l7WJ3RER9xtqwdhxkhw/edit?usp=sharing"",""สุพรรณบุรี!I388"")"),0)</f>
        <v>0</v>
      </c>
      <c r="J493" s="189">
        <f ca="1">IFERROR(__xludf.DUMMYFUNCTION("IMPORTRANGE(""https://docs.google.com/spreadsheets/d/1SX6NBoVAgQJ6U1MVXOaj8PK2l7WJ3RER9xtqwdhxkhw/edit?usp=sharing"",""สุพรรณบุรี!J388"")"),0)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IFERROR(__xludf.DUMMYFUNCTION("IMPORTRANGE(""https://docs.google.com/spreadsheets/d/1SX6NBoVAgQJ6U1MVXOaj8PK2l7WJ3RER9xtqwdhxkhw/edit?usp=sharing"",""สุพรรณบุรี!I389"")"),0)</f>
        <v>0</v>
      </c>
      <c r="J494" s="436">
        <f ca="1">IFERROR(__xludf.DUMMYFUNCTION("IMPORTRANGE(""https://docs.google.com/spreadsheets/d/1SX6NBoVAgQJ6U1MVXOaj8PK2l7WJ3RER9xtqwdhxkhw/edit?usp=sharing"",""สุพรรณบุรี!J389"")"),0)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IFERROR(__xludf.DUMMYFUNCTION("IMPORTRANGE(""https://docs.google.com/spreadsheets/d/1SX6NBoVAgQJ6U1MVXOaj8PK2l7WJ3RER9xtqwdhxkhw/edit?usp=sharing"",""สุพรรณบุรี!I390"")"),0)</f>
        <v>0</v>
      </c>
      <c r="J495" s="436">
        <f ca="1">IFERROR(__xludf.DUMMYFUNCTION("IMPORTRANGE(""https://docs.google.com/spreadsheets/d/1SX6NBoVAgQJ6U1MVXOaj8PK2l7WJ3RER9xtqwdhxkhw/edit?usp=sharing"",""สุพรรณบุรี!J390"")"),0)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IFERROR(__xludf.DUMMYFUNCTION("IMPORTRANGE(""https://docs.google.com/spreadsheets/d/1SX6NBoVAgQJ6U1MVXOaj8PK2l7WJ3RER9xtqwdhxkhw/edit?usp=sharing"",""สุพรรณบุรี!I391"")"),0)</f>
        <v>0</v>
      </c>
      <c r="J496" s="436">
        <f ca="1">IFERROR(__xludf.DUMMYFUNCTION("IMPORTRANGE(""https://docs.google.com/spreadsheets/d/1SX6NBoVAgQJ6U1MVXOaj8PK2l7WJ3RER9xtqwdhxkhw/edit?usp=sharing"",""สุพรรณบุรี!J391"")"),0)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IFERROR(__xludf.DUMMYFUNCTION("IMPORTRANGE(""https://docs.google.com/spreadsheets/d/1SX6NBoVAgQJ6U1MVXOaj8PK2l7WJ3RER9xtqwdhxkhw/edit?usp=sharing"",""สุพรรณบุรี!I392"")"),3062)</f>
        <v>3062</v>
      </c>
      <c r="J497" s="443">
        <f ca="1">IFERROR(__xludf.DUMMYFUNCTION("IMPORTRANGE(""https://docs.google.com/spreadsheets/d/1SX6NBoVAgQJ6U1MVXOaj8PK2l7WJ3RER9xtqwdhxkhw/edit?usp=sharing"",""สุพรรณบุรี!J392"")"),0)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IFERROR(__xludf.DUMMYFUNCTION("IMPORTRANGE(""https://docs.google.com/spreadsheets/d/1SX6NBoVAgQJ6U1MVXOaj8PK2l7WJ3RER9xtqwdhxkhw/edit?usp=sharing"",""สุพรรณบุรี!I393"")"),3062)</f>
        <v>3062</v>
      </c>
      <c r="J498" s="420">
        <f ca="1">IFERROR(__xludf.DUMMYFUNCTION("IMPORTRANGE(""https://docs.google.com/spreadsheets/d/1SX6NBoVAgQJ6U1MVXOaj8PK2l7WJ3RER9xtqwdhxkhw/edit?usp=sharing"",""สุพรรณบุรี!J393"")"),0)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IFERROR(__xludf.DUMMYFUNCTION("IMPORTRANGE(""https://docs.google.com/spreadsheets/d/1SX6NBoVAgQJ6U1MVXOaj8PK2l7WJ3RER9xtqwdhxkhw/edit?usp=sharing"",""สุพรรณบุรี!I394"")"),219)</f>
        <v>219</v>
      </c>
      <c r="J499" s="420">
        <f ca="1">IFERROR(__xludf.DUMMYFUNCTION("IMPORTRANGE(""https://docs.google.com/spreadsheets/d/1SX6NBoVAgQJ6U1MVXOaj8PK2l7WJ3RER9xtqwdhxkhw/edit?usp=sharing"",""สุพรรณบุรี!J394"")"),0)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IFERROR(__xludf.DUMMYFUNCTION("IMPORTRANGE(""https://docs.google.com/spreadsheets/d/1SX6NBoVAgQJ6U1MVXOaj8PK2l7WJ3RER9xtqwdhxkhw/edit?usp=sharing"",""สุพรรณบุรี!I395"")"),0)</f>
        <v>0</v>
      </c>
      <c r="J500" s="162">
        <f ca="1">IFERROR(__xludf.DUMMYFUNCTION("IMPORTRANGE(""https://docs.google.com/spreadsheets/d/1SX6NBoVAgQJ6U1MVXOaj8PK2l7WJ3RER9xtqwdhxkhw/edit?usp=sharing"",""สุพรรณบุรี!J395"")"),0)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IFERROR(__xludf.DUMMYFUNCTION("IMPORTRANGE(""https://docs.google.com/spreadsheets/d/1SX6NBoVAgQJ6U1MVXOaj8PK2l7WJ3RER9xtqwdhxkhw/edit?usp=sharing"",""สุพรรณบุรี!I396"")"),0)</f>
        <v>0</v>
      </c>
      <c r="J501" s="162">
        <f ca="1">IFERROR(__xludf.DUMMYFUNCTION("IMPORTRANGE(""https://docs.google.com/spreadsheets/d/1SX6NBoVAgQJ6U1MVXOaj8PK2l7WJ3RER9xtqwdhxkhw/edit?usp=sharing"",""สุพรรณบุรี!J396"")"),0)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IFERROR(__xludf.DUMMYFUNCTION("IMPORTRANGE(""https://docs.google.com/spreadsheets/d/1SX6NBoVAgQJ6U1MVXOaj8PK2l7WJ3RER9xtqwdhxkhw/edit?usp=sharing"",""สุพรรณบุรี!I397"")"),0)</f>
        <v>0</v>
      </c>
      <c r="J502" s="189">
        <f ca="1">IFERROR(__xludf.DUMMYFUNCTION("IMPORTRANGE(""https://docs.google.com/spreadsheets/d/1SX6NBoVAgQJ6U1MVXOaj8PK2l7WJ3RER9xtqwdhxkhw/edit?usp=sharing"",""สุพรรณบุรี!J397"")"),0)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IFERROR(__xludf.DUMMYFUNCTION("IMPORTRANGE(""https://docs.google.com/spreadsheets/d/1SX6NBoVAgQJ6U1MVXOaj8PK2l7WJ3RER9xtqwdhxkhw/edit?usp=sharing"",""สุพรรณบุรี!I398"")"),0)</f>
        <v>0</v>
      </c>
      <c r="J503" s="198">
        <f ca="1">IFERROR(__xludf.DUMMYFUNCTION("IMPORTRANGE(""https://docs.google.com/spreadsheets/d/1SX6NBoVAgQJ6U1MVXOaj8PK2l7WJ3RER9xtqwdhxkhw/edit?usp=sharing"",""สุพรรณบุรี!J398"")"),0)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IFERROR(__xludf.DUMMYFUNCTION("IMPORTRANGE(""https://docs.google.com/spreadsheets/d/1SX6NBoVAgQJ6U1MVXOaj8PK2l7WJ3RER9xtqwdhxkhw/edit?usp=sharing"",""สุพรรณบุรี!I399"")"),0)</f>
        <v>0</v>
      </c>
      <c r="J504" s="189">
        <f ca="1">IFERROR(__xludf.DUMMYFUNCTION("IMPORTRANGE(""https://docs.google.com/spreadsheets/d/1SX6NBoVAgQJ6U1MVXOaj8PK2l7WJ3RER9xtqwdhxkhw/edit?usp=sharing"",""สุพรรณบุรี!J399"")"),0)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IFERROR(__xludf.DUMMYFUNCTION("IMPORTRANGE(""https://docs.google.com/spreadsheets/d/1SX6NBoVAgQJ6U1MVXOaj8PK2l7WJ3RER9xtqwdhxkhw/edit?usp=sharing"",""สุพรรณบุรี!I400"")"),0)</f>
        <v>0</v>
      </c>
      <c r="J505" s="198">
        <f ca="1">IFERROR(__xludf.DUMMYFUNCTION("IMPORTRANGE(""https://docs.google.com/spreadsheets/d/1SX6NBoVAgQJ6U1MVXOaj8PK2l7WJ3RER9xtqwdhxkhw/edit?usp=sharing"",""สุพรรณบุรี!J400"")"),0)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IFERROR(__xludf.DUMMYFUNCTION("IMPORTRANGE(""https://docs.google.com/spreadsheets/d/1SX6NBoVAgQJ6U1MVXOaj8PK2l7WJ3RER9xtqwdhxkhw/edit?usp=sharing"",""สุพรรณบุรี!I401"")"),0)</f>
        <v>0</v>
      </c>
      <c r="J506" s="189">
        <f ca="1">IFERROR(__xludf.DUMMYFUNCTION("IMPORTRANGE(""https://docs.google.com/spreadsheets/d/1SX6NBoVAgQJ6U1MVXOaj8PK2l7WJ3RER9xtqwdhxkhw/edit?usp=sharing"",""สุพรรณบุรี!J401"")"),0)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IFERROR(__xludf.DUMMYFUNCTION("IMPORTRANGE(""https://docs.google.com/spreadsheets/d/1SX6NBoVAgQJ6U1MVXOaj8PK2l7WJ3RER9xtqwdhxkhw/edit?usp=sharing"",""สุพรรณบุรี!I402"")"),0)</f>
        <v>0</v>
      </c>
      <c r="J507" s="198">
        <f ca="1">IFERROR(__xludf.DUMMYFUNCTION("IMPORTRANGE(""https://docs.google.com/spreadsheets/d/1SX6NBoVAgQJ6U1MVXOaj8PK2l7WJ3RER9xtqwdhxkhw/edit?usp=sharing"",""สุพรรณบุรี!J402"")"),0)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IFERROR(__xludf.DUMMYFUNCTION("IMPORTRANGE(""https://docs.google.com/spreadsheets/d/1SX6NBoVAgQJ6U1MVXOaj8PK2l7WJ3RER9xtqwdhxkhw/edit?usp=sharing"",""สุพรรณบุรี!I403"")"),0)</f>
        <v>0</v>
      </c>
      <c r="J508" s="162">
        <f ca="1">IFERROR(__xludf.DUMMYFUNCTION("IMPORTRANGE(""https://docs.google.com/spreadsheets/d/1SX6NBoVAgQJ6U1MVXOaj8PK2l7WJ3RER9xtqwdhxkhw/edit?usp=sharing"",""สุพรรณบุรี!J403"")"),0)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IFERROR(__xludf.DUMMYFUNCTION("IMPORTRANGE(""https://docs.google.com/spreadsheets/d/1SX6NBoVAgQJ6U1MVXOaj8PK2l7WJ3RER9xtqwdhxkhw/edit?usp=sharing"",""สุพรรณบุรี!I404"")"),0)</f>
        <v>0</v>
      </c>
      <c r="J509" s="162">
        <f ca="1">IFERROR(__xludf.DUMMYFUNCTION("IMPORTRANGE(""https://docs.google.com/spreadsheets/d/1SX6NBoVAgQJ6U1MVXOaj8PK2l7WJ3RER9xtqwdhxkhw/edit?usp=sharing"",""สุพรรณบุรี!J404"")"),0)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IFERROR(__xludf.DUMMYFUNCTION("IMPORTRANGE(""https://docs.google.com/spreadsheets/d/1SX6NBoVAgQJ6U1MVXOaj8PK2l7WJ3RER9xtqwdhxkhw/edit?usp=sharing"",""สุพรรณบุรี!I405"")"),0)</f>
        <v>0</v>
      </c>
      <c r="J510" s="198">
        <f ca="1">IFERROR(__xludf.DUMMYFUNCTION("IMPORTRANGE(""https://docs.google.com/spreadsheets/d/1SX6NBoVAgQJ6U1MVXOaj8PK2l7WJ3RER9xtqwdhxkhw/edit?usp=sharing"",""สุพรรณบุรี!J405"")"),0)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IFERROR(__xludf.DUMMYFUNCTION("IMPORTRANGE(""https://docs.google.com/spreadsheets/d/1SX6NBoVAgQJ6U1MVXOaj8PK2l7WJ3RER9xtqwdhxkhw/edit?usp=sharing"",""สุพรรณบุรี!I406"")"),0)</f>
        <v>0</v>
      </c>
      <c r="J511" s="198">
        <f ca="1">IFERROR(__xludf.DUMMYFUNCTION("IMPORTRANGE(""https://docs.google.com/spreadsheets/d/1SX6NBoVAgQJ6U1MVXOaj8PK2l7WJ3RER9xtqwdhxkhw/edit?usp=sharing"",""สุพรรณบุรี!J406"")"),0)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IFERROR(__xludf.DUMMYFUNCTION("IMPORTRANGE(""https://docs.google.com/spreadsheets/d/1SX6NBoVAgQJ6U1MVXOaj8PK2l7WJ3RER9xtqwdhxkhw/edit?usp=sharing"",""สุพรรณบุรี!I407"")"),0)</f>
        <v>0</v>
      </c>
      <c r="J512" s="198">
        <f ca="1">IFERROR(__xludf.DUMMYFUNCTION("IMPORTRANGE(""https://docs.google.com/spreadsheets/d/1SX6NBoVAgQJ6U1MVXOaj8PK2l7WJ3RER9xtqwdhxkhw/edit?usp=sharing"",""สุพรรณบุรี!J407"")"),0)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IFERROR(__xludf.DUMMYFUNCTION("IMPORTRANGE(""https://docs.google.com/spreadsheets/d/1SX6NBoVAgQJ6U1MVXOaj8PK2l7WJ3RER9xtqwdhxkhw/edit?usp=sharing"",""สุพรรณบุรี!I408"")"),0)</f>
        <v>0</v>
      </c>
      <c r="J513" s="198">
        <f ca="1">IFERROR(__xludf.DUMMYFUNCTION("IMPORTRANGE(""https://docs.google.com/spreadsheets/d/1SX6NBoVAgQJ6U1MVXOaj8PK2l7WJ3RER9xtqwdhxkhw/edit?usp=sharing"",""สุพรรณบุรี!J408"")"),0)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IFERROR(__xludf.DUMMYFUNCTION("IMPORTRANGE(""https://docs.google.com/spreadsheets/d/1SX6NBoVAgQJ6U1MVXOaj8PK2l7WJ3RER9xtqwdhxkhw/edit?usp=sharing"",""สุพรรณบุรี!I409"")"),0)</f>
        <v>0</v>
      </c>
      <c r="J514" s="198">
        <f ca="1">IFERROR(__xludf.DUMMYFUNCTION("IMPORTRANGE(""https://docs.google.com/spreadsheets/d/1SX6NBoVAgQJ6U1MVXOaj8PK2l7WJ3RER9xtqwdhxkhw/edit?usp=sharing"",""สุพรรณบุรี!J409"")"),0)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IFERROR(__xludf.DUMMYFUNCTION("IMPORTRANGE(""https://docs.google.com/spreadsheets/d/1SX6NBoVAgQJ6U1MVXOaj8PK2l7WJ3RER9xtqwdhxkhw/edit?usp=sharing"",""สุพรรณบุรี!I410"")"),0)</f>
        <v>0</v>
      </c>
      <c r="J515" s="198">
        <f ca="1">IFERROR(__xludf.DUMMYFUNCTION("IMPORTRANGE(""https://docs.google.com/spreadsheets/d/1SX6NBoVAgQJ6U1MVXOaj8PK2l7WJ3RER9xtqwdhxkhw/edit?usp=sharing"",""สุพรรณบุรี!J410"")"),0)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IFERROR(__xludf.DUMMYFUNCTION("IMPORTRANGE(""https://docs.google.com/spreadsheets/d/1SX6NBoVAgQJ6U1MVXOaj8PK2l7WJ3RER9xtqwdhxkhw/edit?usp=sharing"",""สุพรรณบุรี!I411"")"),0)</f>
        <v>0</v>
      </c>
      <c r="J516" s="267">
        <f ca="1">IFERROR(__xludf.DUMMYFUNCTION("IMPORTRANGE(""https://docs.google.com/spreadsheets/d/1SX6NBoVAgQJ6U1MVXOaj8PK2l7WJ3RER9xtqwdhxkhw/edit?usp=sharing"",""สุพรรณบุรี!J411"")"),0)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IFERROR(__xludf.DUMMYFUNCTION("IMPORTRANGE(""https://docs.google.com/spreadsheets/d/1SX6NBoVAgQJ6U1MVXOaj8PK2l7WJ3RER9xtqwdhxkhw/edit?usp=sharing"",""สุพรรณบุรี!I412"")"),0)</f>
        <v>0</v>
      </c>
      <c r="J517" s="284">
        <f ca="1">IFERROR(__xludf.DUMMYFUNCTION("IMPORTRANGE(""https://docs.google.com/spreadsheets/d/1SX6NBoVAgQJ6U1MVXOaj8PK2l7WJ3RER9xtqwdhxkhw/edit?usp=sharing"",""สุพรรณบุรี!J412"")"),0)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IFERROR(__xludf.DUMMYFUNCTION("IMPORTRANGE(""https://docs.google.com/spreadsheets/d/1SX6NBoVAgQJ6U1MVXOaj8PK2l7WJ3RER9xtqwdhxkhw/edit?usp=sharing"",""สุพรรณบุรี!I413"")"),0)</f>
        <v>0</v>
      </c>
      <c r="J518" s="284">
        <f ca="1">IFERROR(__xludf.DUMMYFUNCTION("IMPORTRANGE(""https://docs.google.com/spreadsheets/d/1SX6NBoVAgQJ6U1MVXOaj8PK2l7WJ3RER9xtqwdhxkhw/edit?usp=sharing"",""สุพรรณบุรี!J413"")"),0)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IFERROR(__xludf.DUMMYFUNCTION("IMPORTRANGE(""https://docs.google.com/spreadsheets/d/1SX6NBoVAgQJ6U1MVXOaj8PK2l7WJ3RER9xtqwdhxkhw/edit?usp=sharing"",""สุพรรณบุรี!I414"")"),0)</f>
        <v>0</v>
      </c>
      <c r="J519" s="188">
        <f ca="1">IFERROR(__xludf.DUMMYFUNCTION("IMPORTRANGE(""https://docs.google.com/spreadsheets/d/1SX6NBoVAgQJ6U1MVXOaj8PK2l7WJ3RER9xtqwdhxkhw/edit?usp=sharing"",""สุพรรณบุรี!J414"")"),0)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IFERROR(__xludf.DUMMYFUNCTION("IMPORTRANGE(""https://docs.google.com/spreadsheets/d/1SX6NBoVAgQJ6U1MVXOaj8PK2l7WJ3RER9xtqwdhxkhw/edit?usp=sharing"",""สุพรรณบุรี!I415"")"),0)</f>
        <v>0</v>
      </c>
      <c r="J520" s="188">
        <f ca="1">IFERROR(__xludf.DUMMYFUNCTION("IMPORTRANGE(""https://docs.google.com/spreadsheets/d/1SX6NBoVAgQJ6U1MVXOaj8PK2l7WJ3RER9xtqwdhxkhw/edit?usp=sharing"",""สุพรรณบุรี!J415"")"),0)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IFERROR(__xludf.DUMMYFUNCTION("IMPORTRANGE(""https://docs.google.com/spreadsheets/d/1SX6NBoVAgQJ6U1MVXOaj8PK2l7WJ3RER9xtqwdhxkhw/edit?usp=sharing"",""สุพรรณบุรี!I416"")"),0)</f>
        <v>0</v>
      </c>
      <c r="J521" s="188">
        <f ca="1">IFERROR(__xludf.DUMMYFUNCTION("IMPORTRANGE(""https://docs.google.com/spreadsheets/d/1SX6NBoVAgQJ6U1MVXOaj8PK2l7WJ3RER9xtqwdhxkhw/edit?usp=sharing"",""สุพรรณบุรี!J416"")"),0)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IFERROR(__xludf.DUMMYFUNCTION("IMPORTRANGE(""https://docs.google.com/spreadsheets/d/1SX6NBoVAgQJ6U1MVXOaj8PK2l7WJ3RER9xtqwdhxkhw/edit?usp=sharing"",""สุพรรณบุรี!I417"")"),0)</f>
        <v>0</v>
      </c>
      <c r="J522" s="188">
        <f ca="1">IFERROR(__xludf.DUMMYFUNCTION("IMPORTRANGE(""https://docs.google.com/spreadsheets/d/1SX6NBoVAgQJ6U1MVXOaj8PK2l7WJ3RER9xtqwdhxkhw/edit?usp=sharing"",""สุพรรณบุรี!J417"")"),0)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IFERROR(__xludf.DUMMYFUNCTION("IMPORTRANGE(""https://docs.google.com/spreadsheets/d/1SX6NBoVAgQJ6U1MVXOaj8PK2l7WJ3RER9xtqwdhxkhw/edit?usp=sharing"",""สุพรรณบุรี!I418"")"),0)</f>
        <v>0</v>
      </c>
      <c r="J523" s="188">
        <f ca="1">IFERROR(__xludf.DUMMYFUNCTION("IMPORTRANGE(""https://docs.google.com/spreadsheets/d/1SX6NBoVAgQJ6U1MVXOaj8PK2l7WJ3RER9xtqwdhxkhw/edit?usp=sharing"",""สุพรรณบุรี!J418"")"),0)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IFERROR(__xludf.DUMMYFUNCTION("IMPORTRANGE(""https://docs.google.com/spreadsheets/d/1SX6NBoVAgQJ6U1MVXOaj8PK2l7WJ3RER9xtqwdhxkhw/edit?usp=sharing"",""สุพรรณบุรี!I419"")"),0)</f>
        <v>0</v>
      </c>
      <c r="J524" s="188">
        <f ca="1">IFERROR(__xludf.DUMMYFUNCTION("IMPORTRANGE(""https://docs.google.com/spreadsheets/d/1SX6NBoVAgQJ6U1MVXOaj8PK2l7WJ3RER9xtqwdhxkhw/edit?usp=sharing"",""สุพรรณบุรี!J419"")"),0)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IFERROR(__xludf.DUMMYFUNCTION("IMPORTRANGE(""https://docs.google.com/spreadsheets/d/1SX6NBoVAgQJ6U1MVXOaj8PK2l7WJ3RER9xtqwdhxkhw/edit?usp=sharing"",""สุพรรณบุรี!I420"")"),0)</f>
        <v>0</v>
      </c>
      <c r="J525" s="284">
        <f ca="1">IFERROR(__xludf.DUMMYFUNCTION("IMPORTRANGE(""https://docs.google.com/spreadsheets/d/1SX6NBoVAgQJ6U1MVXOaj8PK2l7WJ3RER9xtqwdhxkhw/edit?usp=sharing"",""สุพรรณบุรี!J420"")"),0)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IFERROR(__xludf.DUMMYFUNCTION("IMPORTRANGE(""https://docs.google.com/spreadsheets/d/1SX6NBoVAgQJ6U1MVXOaj8PK2l7WJ3RER9xtqwdhxkhw/edit?usp=sharing"",""สุพรรณบุรี!I421"")"),0)</f>
        <v>0</v>
      </c>
      <c r="J526" s="284">
        <f ca="1">IFERROR(__xludf.DUMMYFUNCTION("IMPORTRANGE(""https://docs.google.com/spreadsheets/d/1SX6NBoVAgQJ6U1MVXOaj8PK2l7WJ3RER9xtqwdhxkhw/edit?usp=sharing"",""สุพรรณบุรี!J421"")"),0)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IFERROR(__xludf.DUMMYFUNCTION("IMPORTRANGE(""https://docs.google.com/spreadsheets/d/1SX6NBoVAgQJ6U1MVXOaj8PK2l7WJ3RER9xtqwdhxkhw/edit?usp=sharing"",""สุพรรณบุรี!I422"")"),0)</f>
        <v>0</v>
      </c>
      <c r="J527" s="198">
        <f ca="1">IFERROR(__xludf.DUMMYFUNCTION("IMPORTRANGE(""https://docs.google.com/spreadsheets/d/1SX6NBoVAgQJ6U1MVXOaj8PK2l7WJ3RER9xtqwdhxkhw/edit?usp=sharing"",""สุพรรณบุรี!J422"")"),0)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IFERROR(__xludf.DUMMYFUNCTION("IMPORTRANGE(""https://docs.google.com/spreadsheets/d/1SX6NBoVAgQJ6U1MVXOaj8PK2l7WJ3RER9xtqwdhxkhw/edit?usp=sharing"",""สุพรรณบุรี!I423"")"),0)</f>
        <v>0</v>
      </c>
      <c r="J528" s="198">
        <f ca="1">IFERROR(__xludf.DUMMYFUNCTION("IMPORTRANGE(""https://docs.google.com/spreadsheets/d/1SX6NBoVAgQJ6U1MVXOaj8PK2l7WJ3RER9xtqwdhxkhw/edit?usp=sharing"",""สุพรรณบุรี!J423"")"),0)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IFERROR(__xludf.DUMMYFUNCTION("IMPORTRANGE(""https://docs.google.com/spreadsheets/d/1SX6NBoVAgQJ6U1MVXOaj8PK2l7WJ3RER9xtqwdhxkhw/edit?usp=sharing"",""สุพรรณบุรี!I424"")"),0)</f>
        <v>0</v>
      </c>
      <c r="J529" s="198">
        <f ca="1">IFERROR(__xludf.DUMMYFUNCTION("IMPORTRANGE(""https://docs.google.com/spreadsheets/d/1SX6NBoVAgQJ6U1MVXOaj8PK2l7WJ3RER9xtqwdhxkhw/edit?usp=sharing"",""สุพรรณบุรี!J424"")"),0)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IFERROR(__xludf.DUMMYFUNCTION("IMPORTRANGE(""https://docs.google.com/spreadsheets/d/1SX6NBoVAgQJ6U1MVXOaj8PK2l7WJ3RER9xtqwdhxkhw/edit?usp=sharing"",""สุพรรณบุรี!I425"")"),0)</f>
        <v>0</v>
      </c>
      <c r="J530" s="198">
        <f ca="1">IFERROR(__xludf.DUMMYFUNCTION("IMPORTRANGE(""https://docs.google.com/spreadsheets/d/1SX6NBoVAgQJ6U1MVXOaj8PK2l7WJ3RER9xtqwdhxkhw/edit?usp=sharing"",""สุพรรณบุรี!J425"")"),0)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IFERROR(__xludf.DUMMYFUNCTION("IMPORTRANGE(""https://docs.google.com/spreadsheets/d/1SX6NBoVAgQJ6U1MVXOaj8PK2l7WJ3RER9xtqwdhxkhw/edit?usp=sharing"",""สุพรรณบุรี!I426"")"),0)</f>
        <v>0</v>
      </c>
      <c r="J531" s="198">
        <f ca="1">IFERROR(__xludf.DUMMYFUNCTION("IMPORTRANGE(""https://docs.google.com/spreadsheets/d/1SX6NBoVAgQJ6U1MVXOaj8PK2l7WJ3RER9xtqwdhxkhw/edit?usp=sharing"",""สุพรรณบุรี!J426"")"),0)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IFERROR(__xludf.DUMMYFUNCTION("IMPORTRANGE(""https://docs.google.com/spreadsheets/d/1SX6NBoVAgQJ6U1MVXOaj8PK2l7WJ3RER9xtqwdhxkhw/edit?usp=sharing"",""สุพรรณบุรี!I427"")"),0)</f>
        <v>0</v>
      </c>
      <c r="J532" s="466">
        <f ca="1">IFERROR(__xludf.DUMMYFUNCTION("IMPORTRANGE(""https://docs.google.com/spreadsheets/d/1SX6NBoVAgQJ6U1MVXOaj8PK2l7WJ3RER9xtqwdhxkhw/edit?usp=sharing"",""สุพรรณบุรี!J427"")"),0)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IFERROR(__xludf.DUMMYFUNCTION("IMPORTRANGE(""https://docs.google.com/spreadsheets/d/1SX6NBoVAgQJ6U1MVXOaj8PK2l7WJ3RER9xtqwdhxkhw/edit?usp=sharing"",""สุพรรณบุรี!I428"")"),22)</f>
        <v>22</v>
      </c>
      <c r="J533" s="410">
        <f ca="1">IFERROR(__xludf.DUMMYFUNCTION("IMPORTRANGE(""https://docs.google.com/spreadsheets/d/1SX6NBoVAgQJ6U1MVXOaj8PK2l7WJ3RER9xtqwdhxkhw/edit?usp=sharing"",""สุพรรณบุรี!J428"")"),22)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IFERROR(__xludf.DUMMYFUNCTION("IMPORTRANGE(""https://docs.google.com/spreadsheets/d/1SX6NBoVAgQJ6U1MVXOaj8PK2l7WJ3RER9xtqwdhxkhw/edit?usp=sharing"",""สุพรรณบุรี!L428"")"),34340)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IFERROR(__xludf.DUMMYFUNCTION("IMPORTRANGE(""https://docs.google.com/spreadsheets/d/1SX6NBoVAgQJ6U1MVXOaj8PK2l7WJ3RER9xtqwdhxkhw/edit?usp=sharing"",""สุพรรณบุรี!M428"")"),30945)</f>
        <v>30945</v>
      </c>
      <c r="O533" s="412">
        <f t="shared" ref="O533:O537" ca="1" si="118">+IF(L533&gt;0,N533*100/L533,0)</f>
        <v>90.11357018054747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IFERROR(__xludf.DUMMYFUNCTION("IMPORTRANGE(""https://docs.google.com/spreadsheets/d/1SX6NBoVAgQJ6U1MVXOaj8PK2l7WJ3RER9xtqwdhxkhw/edit?usp=sharing"",""สุพรรณบุรี!L429"")"),0)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IFERROR(__xludf.DUMMYFUNCTION("IMPORTRANGE(""https://docs.google.com/spreadsheets/d/1SX6NBoVAgQJ6U1MVXOaj8PK2l7WJ3RER9xtqwdhxkhw/edit?usp=sharing"",""สุพรรณบุรี!M429"")"),0)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IFERROR(__xludf.DUMMYFUNCTION("IMPORTRANGE(""https://docs.google.com/spreadsheets/d/1SX6NBoVAgQJ6U1MVXOaj8PK2l7WJ3RER9xtqwdhxkhw/edit?usp=sharing"",""สุพรรณบุรี!L430"")"),34340)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IFERROR(__xludf.DUMMYFUNCTION("IMPORTRANGE(""https://docs.google.com/spreadsheets/d/1SX6NBoVAgQJ6U1MVXOaj8PK2l7WJ3RER9xtqwdhxkhw/edit?usp=sharing"",""สุพรรณบุรี!M430"")"),30945)</f>
        <v>30945</v>
      </c>
      <c r="O535" s="169">
        <f t="shared" ca="1" si="118"/>
        <v>90.11357018054747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IFERROR(__xludf.DUMMYFUNCTION("IMPORTRANGE(""https://docs.google.com/spreadsheets/d/1SX6NBoVAgQJ6U1MVXOaj8PK2l7WJ3RER9xtqwdhxkhw/edit?usp=sharing"",""สุพรรณบุรี!L431"")"),0)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IFERROR(__xludf.DUMMYFUNCTION("IMPORTRANGE(""https://docs.google.com/spreadsheets/d/1SX6NBoVAgQJ6U1MVXOaj8PK2l7WJ3RER9xtqwdhxkhw/edit?usp=sharing"",""สุพรรณบุรี!M431"")"),0)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IFERROR(__xludf.DUMMYFUNCTION("IMPORTRANGE(""https://docs.google.com/spreadsheets/d/1SX6NBoVAgQJ6U1MVXOaj8PK2l7WJ3RER9xtqwdhxkhw/edit?usp=sharing"",""สุพรรณบุรี!L432"")"),34340)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IFERROR(__xludf.DUMMYFUNCTION("IMPORTRANGE(""https://docs.google.com/spreadsheets/d/1SX6NBoVAgQJ6U1MVXOaj8PK2l7WJ3RER9xtqwdhxkhw/edit?usp=sharing"",""สุพรรณบุรี!M432"")"),30945)</f>
        <v>30945</v>
      </c>
      <c r="O537" s="169">
        <f t="shared" ca="1" si="118"/>
        <v>90.11357018054747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IFERROR(__xludf.DUMMYFUNCTION("IMPORTRANGE(""https://docs.google.com/spreadsheets/d/1SX6NBoVAgQJ6U1MVXOaj8PK2l7WJ3RER9xtqwdhxkhw/edit?usp=sharing"",""สุพรรณบุรี!M433"")"),27945)</f>
        <v>27945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IFERROR(__xludf.DUMMYFUNCTION("IMPORTRANGE(""https://docs.google.com/spreadsheets/d/1SX6NBoVAgQJ6U1MVXOaj8PK2l7WJ3RER9xtqwdhxkhw/edit?usp=sharing"",""สุพรรณบุรี!M434"")"),0)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IFERROR(__xludf.DUMMYFUNCTION("IMPORTRANGE(""https://docs.google.com/spreadsheets/d/1SX6NBoVAgQJ6U1MVXOaj8PK2l7WJ3RER9xtqwdhxkhw/edit?usp=sharing"",""สุพรรณบุรี!M435"")"),0)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IFERROR(__xludf.DUMMYFUNCTION("IMPORTRANGE(""https://docs.google.com/spreadsheets/d/1SX6NBoVAgQJ6U1MVXOaj8PK2l7WJ3RER9xtqwdhxkhw/edit?usp=sharing"",""สุพรรณบุรี!M436"")"),3000)</f>
        <v>3000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IFERROR(__xludf.DUMMYFUNCTION("IMPORTRANGE(""https://docs.google.com/spreadsheets/d/1SX6NBoVAgQJ6U1MVXOaj8PK2l7WJ3RER9xtqwdhxkhw/edit?usp=sharing"",""สุพรรณบุรี!J438"")"),0)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IFERROR(__xludf.DUMMYFUNCTION("IMPORTRANGE(""https://docs.google.com/spreadsheets/d/1SX6NBoVAgQJ6U1MVXOaj8PK2l7WJ3RER9xtqwdhxkhw/edit?usp=sharing"",""สุพรรณบุรี!J439"")"),1)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IFERROR(__xludf.DUMMYFUNCTION("IMPORTRANGE(""https://docs.google.com/spreadsheets/d/1SX6NBoVAgQJ6U1MVXOaj8PK2l7WJ3RER9xtqwdhxkhw/edit?usp=sharing"",""สุพรรณบุรี!J440"")"),1)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IFERROR(__xludf.DUMMYFUNCTION("IMPORTRANGE(""https://docs.google.com/spreadsheets/d/1SX6NBoVAgQJ6U1MVXOaj8PK2l7WJ3RER9xtqwdhxkhw/edit?usp=sharing"",""สุพรรณบุรี!J441"")"),1)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IFERROR(__xludf.DUMMYFUNCTION("IMPORTRANGE(""https://docs.google.com/spreadsheets/d/1SX6NBoVAgQJ6U1MVXOaj8PK2l7WJ3RER9xtqwdhxkhw/edit?usp=sharing"",""สุพรรณบุรี!I442"")"),22)</f>
        <v>22</v>
      </c>
      <c r="J547" s="189">
        <f ca="1">IFERROR(__xludf.DUMMYFUNCTION("IMPORTRANGE(""https://docs.google.com/spreadsheets/d/1SX6NBoVAgQJ6U1MVXOaj8PK2l7WJ3RER9xtqwdhxkhw/edit?usp=sharing"",""สุพรรณบุรี!J442"")"),22)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IFERROR(__xludf.DUMMYFUNCTION("IMPORTRANGE(""https://docs.google.com/spreadsheets/d/1SX6NBoVAgQJ6U1MVXOaj8PK2l7WJ3RER9xtqwdhxkhw/edit?usp=sharing"",""สุพรรณบุรี!J166"")"),0)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IFERROR(__xludf.DUMMYFUNCTION("IMPORTRANGE(""https://docs.google.com/spreadsheets/d/1SX6NBoVAgQJ6U1MVXOaj8PK2l7WJ3RER9xtqwdhxkhw/edit?usp=sharing"",""สุพรรณบุรี!J444"")"),0)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IFERROR(__xludf.DUMMYFUNCTION("IMPORTRANGE(""https://docs.google.com/spreadsheets/d/1SX6NBoVAgQJ6U1MVXOaj8PK2l7WJ3RER9xtqwdhxkhw/edit?usp=sharing"",""สุพรรณบุรี!J445"")"),0)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IFERROR(__xludf.DUMMYFUNCTION("IMPORTRANGE(""https://docs.google.com/spreadsheets/d/1SX6NBoVAgQJ6U1MVXOaj8PK2l7WJ3RER9xtqwdhxkhw/edit?usp=sharing"",""สุพรรณบุรี!I446"")"),0)</f>
        <v>0</v>
      </c>
      <c r="J551" s="410">
        <f ca="1">IFERROR(__xludf.DUMMYFUNCTION("IMPORTRANGE(""https://docs.google.com/spreadsheets/d/1SX6NBoVAgQJ6U1MVXOaj8PK2l7WJ3RER9xtqwdhxkhw/edit?usp=sharing"",""สุพรรณบุรี!J446"")"),0)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IFERROR(__xludf.DUMMYFUNCTION("IMPORTRANGE(""https://docs.google.com/spreadsheets/d/1SX6NBoVAgQJ6U1MVXOaj8PK2l7WJ3RER9xtqwdhxkhw/edit?usp=sharing"",""สุพรรณบุรี!L446"")"),0)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IFERROR(__xludf.DUMMYFUNCTION("IMPORTRANGE(""https://docs.google.com/spreadsheets/d/1SX6NBoVAgQJ6U1MVXOaj8PK2l7WJ3RER9xtqwdhxkhw/edit?usp=sharing"",""สุพรรณบุรี!M446"")"),0)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IFERROR(__xludf.DUMMYFUNCTION("IMPORTRANGE(""https://docs.google.com/spreadsheets/d/1SX6NBoVAgQJ6U1MVXOaj8PK2l7WJ3RER9xtqwdhxkhw/edit?usp=sharing"",""สุพรรณบุรี!L447"")"),0)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IFERROR(__xludf.DUMMYFUNCTION("IMPORTRANGE(""https://docs.google.com/spreadsheets/d/1SX6NBoVAgQJ6U1MVXOaj8PK2l7WJ3RER9xtqwdhxkhw/edit?usp=sharing"",""สุพรรณบุรี!M447"")"),0)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IFERROR(__xludf.DUMMYFUNCTION("IMPORTRANGE(""https://docs.google.com/spreadsheets/d/1SX6NBoVAgQJ6U1MVXOaj8PK2l7WJ3RER9xtqwdhxkhw/edit?usp=sharing"",""สุพรรณบุรี!L448"")"),0)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IFERROR(__xludf.DUMMYFUNCTION("IMPORTRANGE(""https://docs.google.com/spreadsheets/d/1SX6NBoVAgQJ6U1MVXOaj8PK2l7WJ3RER9xtqwdhxkhw/edit?usp=sharing"",""สุพรรณบุรี!M448"")"),0)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IFERROR(__xludf.DUMMYFUNCTION("IMPORTRANGE(""https://docs.google.com/spreadsheets/d/1SX6NBoVAgQJ6U1MVXOaj8PK2l7WJ3RER9xtqwdhxkhw/edit?usp=sharing"",""สุพรรณบุรี!L449"")"),0)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IFERROR(__xludf.DUMMYFUNCTION("IMPORTRANGE(""https://docs.google.com/spreadsheets/d/1SX6NBoVAgQJ6U1MVXOaj8PK2l7WJ3RER9xtqwdhxkhw/edit?usp=sharing"",""สุพรรณบุรี!M449"")"),0)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IFERROR(__xludf.DUMMYFUNCTION("IMPORTRANGE(""https://docs.google.com/spreadsheets/d/1SX6NBoVAgQJ6U1MVXOaj8PK2l7WJ3RER9xtqwdhxkhw/edit?usp=sharing"",""สุพรรณบุรี!L450"")"),0)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IFERROR(__xludf.DUMMYFUNCTION("IMPORTRANGE(""https://docs.google.com/spreadsheets/d/1SX6NBoVAgQJ6U1MVXOaj8PK2l7WJ3RER9xtqwdhxkhw/edit?usp=sharing"",""สุพรรณบุรี!M450"")"),0)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IFERROR(__xludf.DUMMYFUNCTION("IMPORTRANGE(""https://docs.google.com/spreadsheets/d/1SX6NBoVAgQJ6U1MVXOaj8PK2l7WJ3RER9xtqwdhxkhw/edit?usp=sharing"",""สุพรรณบุรี!M451"")"),0)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IFERROR(__xludf.DUMMYFUNCTION("IMPORTRANGE(""https://docs.google.com/spreadsheets/d/1SX6NBoVAgQJ6U1MVXOaj8PK2l7WJ3RER9xtqwdhxkhw/edit?usp=sharing"",""สุพรรณบุรี!M452"")"),0)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IFERROR(__xludf.DUMMYFUNCTION("IMPORTRANGE(""https://docs.google.com/spreadsheets/d/1SX6NBoVAgQJ6U1MVXOaj8PK2l7WJ3RER9xtqwdhxkhw/edit?usp=sharing"",""สุพรรณบุรี!M453"")"),0)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IFERROR(__xludf.DUMMYFUNCTION("IMPORTRANGE(""https://docs.google.com/spreadsheets/d/1SX6NBoVAgQJ6U1MVXOaj8PK2l7WJ3RER9xtqwdhxkhw/edit?usp=sharing"",""สุพรรณบุรี!M454"")"),0)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IFERROR(__xludf.DUMMYFUNCTION("IMPORTRANGE(""https://docs.google.com/spreadsheets/d/1SX6NBoVAgQJ6U1MVXOaj8PK2l7WJ3RER9xtqwdhxkhw/edit?usp=sharing"",""สุพรรณบุรี!I455"")"),0)</f>
        <v>0</v>
      </c>
      <c r="J560" s="162">
        <f ca="1">IFERROR(__xludf.DUMMYFUNCTION("IMPORTRANGE(""https://docs.google.com/spreadsheets/d/1SX6NBoVAgQJ6U1MVXOaj8PK2l7WJ3RER9xtqwdhxkhw/edit?usp=sharing"",""สุพรรณบุรี!J455"")"),0)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IFERROR(__xludf.DUMMYFUNCTION("IMPORTRANGE(""https://docs.google.com/spreadsheets/d/1SX6NBoVAgQJ6U1MVXOaj8PK2l7WJ3RER9xtqwdhxkhw/edit?usp=sharing"",""สุพรรณบุรี!I456"")"),0)</f>
        <v>0</v>
      </c>
      <c r="J561" s="204">
        <f ca="1">IFERROR(__xludf.DUMMYFUNCTION("IMPORTRANGE(""https://docs.google.com/spreadsheets/d/1SX6NBoVAgQJ6U1MVXOaj8PK2l7WJ3RER9xtqwdhxkhw/edit?usp=sharing"",""สุพรรณบุรี!J456"")"),0)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IFERROR(__xludf.DUMMYFUNCTION("IMPORTRANGE(""https://docs.google.com/spreadsheets/d/1SX6NBoVAgQJ6U1MVXOaj8PK2l7WJ3RER9xtqwdhxkhw/edit?usp=sharing"",""สุพรรณบุรี!I459"")"),900)</f>
        <v>900</v>
      </c>
      <c r="J564" s="371">
        <f ca="1">IFERROR(__xludf.DUMMYFUNCTION("IMPORTRANGE(""https://docs.google.com/spreadsheets/d/1SX6NBoVAgQJ6U1MVXOaj8PK2l7WJ3RER9xtqwdhxkhw/edit?usp=sharing"",""สุพรรณบุรี!J459"")"),1936)</f>
        <v>1936</v>
      </c>
      <c r="K564" s="372">
        <f ca="1">IF(I564&gt;0,J564*100/I564,0)</f>
        <v>215.11111111111111</v>
      </c>
      <c r="L564" s="373">
        <f ca="1">IFERROR(__xludf.DUMMYFUNCTION("IMPORTRANGE(""https://docs.google.com/spreadsheets/d/1SX6NBoVAgQJ6U1MVXOaj8PK2l7WJ3RER9xtqwdhxkhw/edit?usp=sharing"",""สุพรรณบุรี!L459"")"),128080)</f>
        <v>128080</v>
      </c>
      <c r="M564" s="373"/>
      <c r="N564" s="373">
        <f ca="1">IFERROR(__xludf.DUMMYFUNCTION("IMPORTRANGE(""https://docs.google.com/spreadsheets/d/1SX6NBoVAgQJ6U1MVXOaj8PK2l7WJ3RER9xtqwdhxkhw/edit?usp=sharing"",""สุพรรณบุรี!M459"")"),66675.5199999999)</f>
        <v>66675.519999999902</v>
      </c>
      <c r="O564" s="373">
        <f t="shared" ref="O564:O568" ca="1" si="122">+IF(L564&gt;0,N564*100/L564,0)</f>
        <v>52.057713928794428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IFERROR(__xludf.DUMMYFUNCTION("IMPORTRANGE(""https://docs.google.com/spreadsheets/d/1SX6NBoVAgQJ6U1MVXOaj8PK2l7WJ3RER9xtqwdhxkhw/edit?usp=sharing"",""สุพรรณบุรี!L460"")"),0)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IFERROR(__xludf.DUMMYFUNCTION("IMPORTRANGE(""https://docs.google.com/spreadsheets/d/1SX6NBoVAgQJ6U1MVXOaj8PK2l7WJ3RER9xtqwdhxkhw/edit?usp=sharing"",""สุพรรณบุรี!M460"")"),0)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IFERROR(__xludf.DUMMYFUNCTION("IMPORTRANGE(""https://docs.google.com/spreadsheets/d/1SX6NBoVAgQJ6U1MVXOaj8PK2l7WJ3RER9xtqwdhxkhw/edit?usp=sharing"",""สุพรรณบุรี!L461"")"),128080)</f>
        <v>128080</v>
      </c>
      <c r="M566" s="165"/>
      <c r="N566" s="169">
        <f ca="1">IFERROR(__xludf.DUMMYFUNCTION("IMPORTRANGE(""https://docs.google.com/spreadsheets/d/1SX6NBoVAgQJ6U1MVXOaj8PK2l7WJ3RER9xtqwdhxkhw/edit?usp=sharing"",""สุพรรณบุรี!M461"")"),66675.5199999999)</f>
        <v>66675.519999999902</v>
      </c>
      <c r="O566" s="169">
        <f t="shared" ca="1" si="122"/>
        <v>52.057713928794428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IFERROR(__xludf.DUMMYFUNCTION("IMPORTRANGE(""https://docs.google.com/spreadsheets/d/1SX6NBoVAgQJ6U1MVXOaj8PK2l7WJ3RER9xtqwdhxkhw/edit?usp=sharing"",""สุพรรณบุรี!L462"")"),0)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IFERROR(__xludf.DUMMYFUNCTION("IMPORTRANGE(""https://docs.google.com/spreadsheets/d/1SX6NBoVAgQJ6U1MVXOaj8PK2l7WJ3RER9xtqwdhxkhw/edit?usp=sharing"",""สุพรรณบุรี!M462"")"),0)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IFERROR(__xludf.DUMMYFUNCTION("IMPORTRANGE(""https://docs.google.com/spreadsheets/d/1SX6NBoVAgQJ6U1MVXOaj8PK2l7WJ3RER9xtqwdhxkhw/edit?usp=sharing"",""สุพรรณบุรี!L463"")"),128080)</f>
        <v>128080</v>
      </c>
      <c r="M568" s="169"/>
      <c r="N568" s="169">
        <f ca="1">IFERROR(__xludf.DUMMYFUNCTION("IMPORTRANGE(""https://docs.google.com/spreadsheets/d/1SX6NBoVAgQJ6U1MVXOaj8PK2l7WJ3RER9xtqwdhxkhw/edit?usp=sharing"",""สุพรรณบุรี!M463"")"),66675.5199999999)</f>
        <v>66675.519999999902</v>
      </c>
      <c r="O568" s="169">
        <f t="shared" ca="1" si="122"/>
        <v>52.057713928794428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IFERROR(__xludf.DUMMYFUNCTION("IMPORTRANGE(""https://docs.google.com/spreadsheets/d/1SX6NBoVAgQJ6U1MVXOaj8PK2l7WJ3RER9xtqwdhxkhw/edit?usp=sharing"",""สุพรรณบุรี!M464"")"),0)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IFERROR(__xludf.DUMMYFUNCTION("IMPORTRANGE(""https://docs.google.com/spreadsheets/d/1SX6NBoVAgQJ6U1MVXOaj8PK2l7WJ3RER9xtqwdhxkhw/edit?usp=sharing"",""สุพรรณบุรี!M465"")"),0)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IFERROR(__xludf.DUMMYFUNCTION("IMPORTRANGE(""https://docs.google.com/spreadsheets/d/1SX6NBoVAgQJ6U1MVXOaj8PK2l7WJ3RER9xtqwdhxkhw/edit?usp=sharing"",""สุพรรณบุรี!M466"")"),64935.52)</f>
        <v>64935.519999999997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IFERROR(__xludf.DUMMYFUNCTION("IMPORTRANGE(""https://docs.google.com/spreadsheets/d/1SX6NBoVAgQJ6U1MVXOaj8PK2l7WJ3RER9xtqwdhxkhw/edit?usp=sharing"",""สุพรรณบุรี!M467"")"),1740)</f>
        <v>1740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IFERROR(__xludf.DUMMYFUNCTION("IMPORTRANGE(""https://docs.google.com/spreadsheets/d/1SX6NBoVAgQJ6U1MVXOaj8PK2l7WJ3RER9xtqwdhxkhw/edit?usp=sharing"",""สุพรรณบุรี!I468"")"),900)</f>
        <v>900</v>
      </c>
      <c r="J573" s="420">
        <f ca="1">IFERROR(__xludf.DUMMYFUNCTION("IMPORTRANGE(""https://docs.google.com/spreadsheets/d/1SX6NBoVAgQJ6U1MVXOaj8PK2l7WJ3RER9xtqwdhxkhw/edit?usp=sharing"",""สุพรรณบุรี!J468"")"),1936)</f>
        <v>1936</v>
      </c>
      <c r="K573" s="202">
        <f ca="1">IF(I573&gt;0,J573*100/I573,0)</f>
        <v>215.11111111111111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IFERROR(__xludf.DUMMYFUNCTION("IMPORTRANGE(""https://docs.google.com/spreadsheets/d/1SX6NBoVAgQJ6U1MVXOaj8PK2l7WJ3RER9xtqwdhxkhw/edit?usp=sharing"",""สุพรรณบุรี!I470"")"),0)</f>
        <v>0</v>
      </c>
      <c r="J575" s="198">
        <f ca="1">IFERROR(__xludf.DUMMYFUNCTION("IMPORTRANGE(""https://docs.google.com/spreadsheets/d/1SX6NBoVAgQJ6U1MVXOaj8PK2l7WJ3RER9xtqwdhxkhw/edit?usp=sharing"",""สุพรรณบุรี!J470"")"),1)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IFERROR(__xludf.DUMMYFUNCTION("IMPORTRANGE(""https://docs.google.com/spreadsheets/d/1SX6NBoVAgQJ6U1MVXOaj8PK2l7WJ3RER9xtqwdhxkhw/edit?usp=sharing"",""สุพรรณบุรี!I471"")"),0)</f>
        <v>0</v>
      </c>
      <c r="J576" s="198">
        <f ca="1">IFERROR(__xludf.DUMMYFUNCTION("IMPORTRANGE(""https://docs.google.com/spreadsheets/d/1SX6NBoVAgQJ6U1MVXOaj8PK2l7WJ3RER9xtqwdhxkhw/edit?usp=sharing"",""สุพรรณบุรี!J471"")"),154)</f>
        <v>154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IFERROR(__xludf.DUMMYFUNCTION("IMPORTRANGE(""https://docs.google.com/spreadsheets/d/1SX6NBoVAgQJ6U1MVXOaj8PK2l7WJ3RER9xtqwdhxkhw/edit?usp=sharing"",""สุพรรณบุรี!I472"")"),0)</f>
        <v>0</v>
      </c>
      <c r="J577" s="189">
        <f ca="1">IFERROR(__xludf.DUMMYFUNCTION("IMPORTRANGE(""https://docs.google.com/spreadsheets/d/1SX6NBoVAgQJ6U1MVXOaj8PK2l7WJ3RER9xtqwdhxkhw/edit?usp=sharing"",""สุพรรณบุรี!J472"")"),1782)</f>
        <v>1782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IFERROR(__xludf.DUMMYFUNCTION("IMPORTRANGE(""https://docs.google.com/spreadsheets/d/1SX6NBoVAgQJ6U1MVXOaj8PK2l7WJ3RER9xtqwdhxkhw/edit?usp=sharing"",""สุพรรณบุรี!I473"")"),0)</f>
        <v>0</v>
      </c>
      <c r="J578" s="198">
        <f ca="1">IFERROR(__xludf.DUMMYFUNCTION("IMPORTRANGE(""https://docs.google.com/spreadsheets/d/1SX6NBoVAgQJ6U1MVXOaj8PK2l7WJ3RER9xtqwdhxkhw/edit?usp=sharing"",""สุพรรณบุรี!J473"")"),0)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IFERROR(__xludf.DUMMYFUNCTION("IMPORTRANGE(""https://docs.google.com/spreadsheets/d/1SX6NBoVAgQJ6U1MVXOaj8PK2l7WJ3RER9xtqwdhxkhw/edit?usp=sharing"",""สุพรรณบุรี!I474"")"),0)</f>
        <v>0</v>
      </c>
      <c r="J579" s="198">
        <f ca="1">IFERROR(__xludf.DUMMYFUNCTION("IMPORTRANGE(""https://docs.google.com/spreadsheets/d/1SX6NBoVAgQJ6U1MVXOaj8PK2l7WJ3RER9xtqwdhxkhw/edit?usp=sharing"",""สุพรรณบุรี!J474"")"),0)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IFERROR(__xludf.DUMMYFUNCTION("IMPORTRANGE(""https://docs.google.com/spreadsheets/d/1SX6NBoVAgQJ6U1MVXOaj8PK2l7WJ3RER9xtqwdhxkhw/edit?usp=sharing"",""สุพรรณบุรี!I475"")"),80)</f>
        <v>80</v>
      </c>
      <c r="J580" s="371">
        <f ca="1">IFERROR(__xludf.DUMMYFUNCTION("IMPORTRANGE(""https://docs.google.com/spreadsheets/d/1SX6NBoVAgQJ6U1MVXOaj8PK2l7WJ3RER9xtqwdhxkhw/edit?usp=sharing"",""สุพรรณบุรี!J475"")"),6)</f>
        <v>6</v>
      </c>
      <c r="K580" s="372">
        <f ca="1">IF(I580&gt;0,J580*100/I580,0)</f>
        <v>7.5</v>
      </c>
      <c r="L580" s="373">
        <f ca="1">IFERROR(__xludf.DUMMYFUNCTION("IMPORTRANGE(""https://docs.google.com/spreadsheets/d/1SX6NBoVAgQJ6U1MVXOaj8PK2l7WJ3RER9xtqwdhxkhw/edit?usp=sharing"",""สุพรรณบุรี!L475"")"),308380)</f>
        <v>308380</v>
      </c>
      <c r="M580" s="373"/>
      <c r="N580" s="373">
        <f ca="1">IFERROR(__xludf.DUMMYFUNCTION("IMPORTRANGE(""https://docs.google.com/spreadsheets/d/1SX6NBoVAgQJ6U1MVXOaj8PK2l7WJ3RER9xtqwdhxkhw/edit?usp=sharing"",""สุพรรณบุรี!M475"")"),127138.73)</f>
        <v>127138.73</v>
      </c>
      <c r="O580" s="373">
        <f t="shared" ref="O580:O584" ca="1" si="124">+IF(L580&gt;0,N580*100/L580,0)</f>
        <v>41.227942797846815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IFERROR(__xludf.DUMMYFUNCTION("IMPORTRANGE(""https://docs.google.com/spreadsheets/d/1SX6NBoVAgQJ6U1MVXOaj8PK2l7WJ3RER9xtqwdhxkhw/edit?usp=sharing"",""สุพรรณบุรี!L476"")"),0)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IFERROR(__xludf.DUMMYFUNCTION("IMPORTRANGE(""https://docs.google.com/spreadsheets/d/1SX6NBoVAgQJ6U1MVXOaj8PK2l7WJ3RER9xtqwdhxkhw/edit?usp=sharing"",""สุพรรณบุรี!M476"")"),0)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IFERROR(__xludf.DUMMYFUNCTION("IMPORTRANGE(""https://docs.google.com/spreadsheets/d/1SX6NBoVAgQJ6U1MVXOaj8PK2l7WJ3RER9xtqwdhxkhw/edit?usp=sharing"",""สุพรรณบุรี!L477"")"),308380)</f>
        <v>308380</v>
      </c>
      <c r="M582" s="165"/>
      <c r="N582" s="169">
        <f ca="1">IFERROR(__xludf.DUMMYFUNCTION("IMPORTRANGE(""https://docs.google.com/spreadsheets/d/1SX6NBoVAgQJ6U1MVXOaj8PK2l7WJ3RER9xtqwdhxkhw/edit?usp=sharing"",""สุพรรณบุรี!M477"")"),127138.73)</f>
        <v>127138.73</v>
      </c>
      <c r="O582" s="169">
        <f t="shared" ca="1" si="124"/>
        <v>41.227942797846815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IFERROR(__xludf.DUMMYFUNCTION("IMPORTRANGE(""https://docs.google.com/spreadsheets/d/1SX6NBoVAgQJ6U1MVXOaj8PK2l7WJ3RER9xtqwdhxkhw/edit?usp=sharing"",""สุพรรณบุรี!L478"")"),0)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IFERROR(__xludf.DUMMYFUNCTION("IMPORTRANGE(""https://docs.google.com/spreadsheets/d/1SX6NBoVAgQJ6U1MVXOaj8PK2l7WJ3RER9xtqwdhxkhw/edit?usp=sharing"",""สุพรรณบุรี!M478"")"),0)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IFERROR(__xludf.DUMMYFUNCTION("IMPORTRANGE(""https://docs.google.com/spreadsheets/d/1SX6NBoVAgQJ6U1MVXOaj8PK2l7WJ3RER9xtqwdhxkhw/edit?usp=sharing"",""สุพรรณบุรี!L479"")"),308380)</f>
        <v>308380</v>
      </c>
      <c r="M584" s="169"/>
      <c r="N584" s="169">
        <f ca="1">IFERROR(__xludf.DUMMYFUNCTION("IMPORTRANGE(""https://docs.google.com/spreadsheets/d/1SX6NBoVAgQJ6U1MVXOaj8PK2l7WJ3RER9xtqwdhxkhw/edit?usp=sharing"",""สุพรรณบุรี!M479"")"),127138.73)</f>
        <v>127138.73</v>
      </c>
      <c r="O584" s="169">
        <f t="shared" ca="1" si="124"/>
        <v>41.227942797846815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IFERROR(__xludf.DUMMYFUNCTION("IMPORTRANGE(""https://docs.google.com/spreadsheets/d/1SX6NBoVAgQJ6U1MVXOaj8PK2l7WJ3RER9xtqwdhxkhw/edit?usp=sharing"",""สุพรรณบุรี!M480"")"),0)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IFERROR(__xludf.DUMMYFUNCTION("IMPORTRANGE(""https://docs.google.com/spreadsheets/d/1SX6NBoVAgQJ6U1MVXOaj8PK2l7WJ3RER9xtqwdhxkhw/edit?usp=sharing"",""สุพรรณบุรี!M481"")"),0)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IFERROR(__xludf.DUMMYFUNCTION("IMPORTRANGE(""https://docs.google.com/spreadsheets/d/1SX6NBoVAgQJ6U1MVXOaj8PK2l7WJ3RER9xtqwdhxkhw/edit?usp=sharing"",""สุพรรณบุรี!M482"")"),70838.73)</f>
        <v>70838.73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IFERROR(__xludf.DUMMYFUNCTION("IMPORTRANGE(""https://docs.google.com/spreadsheets/d/1SX6NBoVAgQJ6U1MVXOaj8PK2l7WJ3RER9xtqwdhxkhw/edit?usp=sharing"",""สุพรรณบุรี!M483"")"),56300)</f>
        <v>56300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IFERROR(__xludf.DUMMYFUNCTION("IMPORTRANGE(""https://docs.google.com/spreadsheets/d/1SX6NBoVAgQJ6U1MVXOaj8PK2l7WJ3RER9xtqwdhxkhw/edit?usp=sharing"",""สุพรรณบุรี!I484"")"),80)</f>
        <v>80</v>
      </c>
      <c r="J589" s="188">
        <f ca="1">IFERROR(__xludf.DUMMYFUNCTION("IMPORTRANGE(""https://docs.google.com/spreadsheets/d/1SX6NBoVAgQJ6U1MVXOaj8PK2l7WJ3RER9xtqwdhxkhw/edit?usp=sharing"",""สุพรรณบุรี!J484"")"),68)</f>
        <v>68</v>
      </c>
      <c r="K589" s="163">
        <f t="shared" ref="K589:K596" ca="1" si="125">IF(I589&gt;0,J589*100/I589,0)</f>
        <v>85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IFERROR(__xludf.DUMMYFUNCTION("IMPORTRANGE(""https://docs.google.com/spreadsheets/d/1SX6NBoVAgQJ6U1MVXOaj8PK2l7WJ3RER9xtqwdhxkhw/edit?usp=sharing"",""สุพรรณบุรี!I485"")"),0)</f>
        <v>0</v>
      </c>
      <c r="J590" s="188">
        <f ca="1">IFERROR(__xludf.DUMMYFUNCTION("IMPORTRANGE(""https://docs.google.com/spreadsheets/d/1SX6NBoVAgQJ6U1MVXOaj8PK2l7WJ3RER9xtqwdhxkhw/edit?usp=sharing"",""สุพรรณบุรี!J485"")"),37.57)</f>
        <v>37.57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IFERROR(__xludf.DUMMYFUNCTION("IMPORTRANGE(""https://docs.google.com/spreadsheets/d/1SX6NBoVAgQJ6U1MVXOaj8PK2l7WJ3RER9xtqwdhxkhw/edit?usp=sharing"",""สุพรรณบุรี!I486"")"),80)</f>
        <v>80</v>
      </c>
      <c r="J591" s="188">
        <f ca="1">IFERROR(__xludf.DUMMYFUNCTION("IMPORTRANGE(""https://docs.google.com/spreadsheets/d/1SX6NBoVAgQJ6U1MVXOaj8PK2l7WJ3RER9xtqwdhxkhw/edit?usp=sharing"",""สุพรรณบุรี!J486"")"),6)</f>
        <v>6</v>
      </c>
      <c r="K591" s="163">
        <f t="shared" ca="1" si="125"/>
        <v>7.5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IFERROR(__xludf.DUMMYFUNCTION("IMPORTRANGE(""https://docs.google.com/spreadsheets/d/1SX6NBoVAgQJ6U1MVXOaj8PK2l7WJ3RER9xtqwdhxkhw/edit?usp=sharing"",""สุพรรณบุรี!I487"")"),0)</f>
        <v>0</v>
      </c>
      <c r="J592" s="188">
        <f ca="1">IFERROR(__xludf.DUMMYFUNCTION("IMPORTRANGE(""https://docs.google.com/spreadsheets/d/1SX6NBoVAgQJ6U1MVXOaj8PK2l7WJ3RER9xtqwdhxkhw/edit?usp=sharing"",""สุพรรณบุรี!J487"")"),4.67)</f>
        <v>4.67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IFERROR(__xludf.DUMMYFUNCTION("IMPORTRANGE(""https://docs.google.com/spreadsheets/d/1SX6NBoVAgQJ6U1MVXOaj8PK2l7WJ3RER9xtqwdhxkhw/edit?usp=sharing"",""สุพรรณบุรี!I488"")"),80)</f>
        <v>80</v>
      </c>
      <c r="J593" s="188">
        <f ca="1">IFERROR(__xludf.DUMMYFUNCTION("IMPORTRANGE(""https://docs.google.com/spreadsheets/d/1SX6NBoVAgQJ6U1MVXOaj8PK2l7WJ3RER9xtqwdhxkhw/edit?usp=sharing"",""สุพรรณบุรี!J488"")"),0)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IFERROR(__xludf.DUMMYFUNCTION("IMPORTRANGE(""https://docs.google.com/spreadsheets/d/1SX6NBoVAgQJ6U1MVXOaj8PK2l7WJ3RER9xtqwdhxkhw/edit?usp=sharing"",""สุพรรณบุรี!I489"")"),0)</f>
        <v>0</v>
      </c>
      <c r="J594" s="188">
        <f ca="1">IFERROR(__xludf.DUMMYFUNCTION("IMPORTRANGE(""https://docs.google.com/spreadsheets/d/1SX6NBoVAgQJ6U1MVXOaj8PK2l7WJ3RER9xtqwdhxkhw/edit?usp=sharing"",""สุพรรณบุรี!J489"")"),0)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IFERROR(__xludf.DUMMYFUNCTION("IMPORTRANGE(""https://docs.google.com/spreadsheets/d/1SX6NBoVAgQJ6U1MVXOaj8PK2l7WJ3RER9xtqwdhxkhw/edit?usp=sharing"",""สุพรรณบุรี!I490"")"),80)</f>
        <v>80</v>
      </c>
      <c r="J595" s="188">
        <f ca="1">IFERROR(__xludf.DUMMYFUNCTION("IMPORTRANGE(""https://docs.google.com/spreadsheets/d/1SX6NBoVAgQJ6U1MVXOaj8PK2l7WJ3RER9xtqwdhxkhw/edit?usp=sharing"",""สุพรรณบุรี!J490"")"),6)</f>
        <v>6</v>
      </c>
      <c r="K595" s="163">
        <f t="shared" ca="1" si="125"/>
        <v>7.5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IFERROR(__xludf.DUMMYFUNCTION("IMPORTRANGE(""https://docs.google.com/spreadsheets/d/1SX6NBoVAgQJ6U1MVXOaj8PK2l7WJ3RER9xtqwdhxkhw/edit?usp=sharing"",""สุพรรณบุรี!I491"")"),0)</f>
        <v>0</v>
      </c>
      <c r="J596" s="241">
        <f ca="1">IFERROR(__xludf.DUMMYFUNCTION("IMPORTRANGE(""https://docs.google.com/spreadsheets/d/1SX6NBoVAgQJ6U1MVXOaj8PK2l7WJ3RER9xtqwdhxkhw/edit?usp=sharing"",""สุพรรณบุรี!J491"")"),4.67)</f>
        <v>4.67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IFERROR(__xludf.DUMMYFUNCTION("IMPORTRANGE(""https://docs.google.com/spreadsheets/d/1SX6NBoVAgQJ6U1MVXOaj8PK2l7WJ3RER9xtqwdhxkhw/edit?usp=sharing"",""สุพรรณบุรี!I492"")"),100)</f>
        <v>100</v>
      </c>
      <c r="J597" s="487">
        <f ca="1">IFERROR(__xludf.DUMMYFUNCTION("IMPORTRANGE(""https://docs.google.com/spreadsheets/d/1SX6NBoVAgQJ6U1MVXOaj8PK2l7WJ3RER9xtqwdhxkhw/edit?usp=sharing"",""สุพรรณบุรี!J492"")"),0)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IFERROR(__xludf.DUMMYFUNCTION("IMPORTRANGE(""https://docs.google.com/spreadsheets/d/1SX6NBoVAgQJ6U1MVXOaj8PK2l7WJ3RER9xtqwdhxkhw/edit?usp=sharing"",""สุพรรณบุรี!L492"")"),8900)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IFERROR(__xludf.DUMMYFUNCTION("IMPORTRANGE(""https://docs.google.com/spreadsheets/d/1SX6NBoVAgQJ6U1MVXOaj8PK2l7WJ3RER9xtqwdhxkhw/edit?usp=sharing"",""สุพรรณบุรี!M492"")"),12895)</f>
        <v>12895</v>
      </c>
      <c r="O597" s="412">
        <f t="shared" ref="O597:O601" ca="1" si="126">+IF(L597&gt;0,N597*100/L597,0)</f>
        <v>144.88764044943821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IFERROR(__xludf.DUMMYFUNCTION("IMPORTRANGE(""https://docs.google.com/spreadsheets/d/1SX6NBoVAgQJ6U1MVXOaj8PK2l7WJ3RER9xtqwdhxkhw/edit?usp=sharing"",""สุพรรณบุรี!L493"")"),0)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IFERROR(__xludf.DUMMYFUNCTION("IMPORTRANGE(""https://docs.google.com/spreadsheets/d/1SX6NBoVAgQJ6U1MVXOaj8PK2l7WJ3RER9xtqwdhxkhw/edit?usp=sharing"",""สุพรรณบุรี!M493"")"),0)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IFERROR(__xludf.DUMMYFUNCTION("IMPORTRANGE(""https://docs.google.com/spreadsheets/d/1SX6NBoVAgQJ6U1MVXOaj8PK2l7WJ3RER9xtqwdhxkhw/edit?usp=sharing"",""สุพรรณบุรี!L494"")"),8900)</f>
        <v>8900</v>
      </c>
      <c r="M599" s="165"/>
      <c r="N599" s="169">
        <f ca="1">IFERROR(__xludf.DUMMYFUNCTION("IMPORTRANGE(""https://docs.google.com/spreadsheets/d/1SX6NBoVAgQJ6U1MVXOaj8PK2l7WJ3RER9xtqwdhxkhw/edit?usp=sharing"",""สุพรรณบุรี!M494"")"),12895)</f>
        <v>12895</v>
      </c>
      <c r="O599" s="169">
        <f t="shared" ca="1" si="126"/>
        <v>144.88764044943821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IFERROR(__xludf.DUMMYFUNCTION("IMPORTRANGE(""https://docs.google.com/spreadsheets/d/1SX6NBoVAgQJ6U1MVXOaj8PK2l7WJ3RER9xtqwdhxkhw/edit?usp=sharing"",""สุพรรณบุรี!L495"")"),0)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IFERROR(__xludf.DUMMYFUNCTION("IMPORTRANGE(""https://docs.google.com/spreadsheets/d/1SX6NBoVAgQJ6U1MVXOaj8PK2l7WJ3RER9xtqwdhxkhw/edit?usp=sharing"",""สุพรรณบุรี!M495"")"),0)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IFERROR(__xludf.DUMMYFUNCTION("IMPORTRANGE(""https://docs.google.com/spreadsheets/d/1SX6NBoVAgQJ6U1MVXOaj8PK2l7WJ3RER9xtqwdhxkhw/edit?usp=sharing"",""สุพรรณบุรี!L496"")"),8900)</f>
        <v>8900</v>
      </c>
      <c r="M601" s="169"/>
      <c r="N601" s="169">
        <f ca="1">IFERROR(__xludf.DUMMYFUNCTION("IMPORTRANGE(""https://docs.google.com/spreadsheets/d/1SX6NBoVAgQJ6U1MVXOaj8PK2l7WJ3RER9xtqwdhxkhw/edit?usp=sharing"",""สุพรรณบุรี!M496"")"),12895)</f>
        <v>12895</v>
      </c>
      <c r="O601" s="169">
        <f t="shared" ca="1" si="126"/>
        <v>144.88764044943821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IFERROR(__xludf.DUMMYFUNCTION("IMPORTRANGE(""https://docs.google.com/spreadsheets/d/1SX6NBoVAgQJ6U1MVXOaj8PK2l7WJ3RER9xtqwdhxkhw/edit?usp=sharing"",""สุพรรณบุรี!M497"")"),0)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IFERROR(__xludf.DUMMYFUNCTION("IMPORTRANGE(""https://docs.google.com/spreadsheets/d/1SX6NBoVAgQJ6U1MVXOaj8PK2l7WJ3RER9xtqwdhxkhw/edit?usp=sharing"",""สุพรรณบุรี!M498"")"),0)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IFERROR(__xludf.DUMMYFUNCTION("IMPORTRANGE(""https://docs.google.com/spreadsheets/d/1SX6NBoVAgQJ6U1MVXOaj8PK2l7WJ3RER9xtqwdhxkhw/edit?usp=sharing"",""สุพรรณบุรี!M499"")"),0)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IFERROR(__xludf.DUMMYFUNCTION("IMPORTRANGE(""https://docs.google.com/spreadsheets/d/1SX6NBoVAgQJ6U1MVXOaj8PK2l7WJ3RER9xtqwdhxkhw/edit?usp=sharing"",""สุพรรณบุรี!M500"")"),12895)</f>
        <v>12895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IFERROR(__xludf.DUMMYFUNCTION("IMPORTRANGE(""https://docs.google.com/spreadsheets/d/1SX6NBoVAgQJ6U1MVXOaj8PK2l7WJ3RER9xtqwdhxkhw/edit?usp=sharing"",""สุพรรณบุรี!J502"")"),0)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IFERROR(__xludf.DUMMYFUNCTION("IMPORTRANGE(""https://docs.google.com/spreadsheets/d/1SX6NBoVAgQJ6U1MVXOaj8PK2l7WJ3RER9xtqwdhxkhw/edit?usp=sharing"",""สุพรรณบุรี!J503"")"),1)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IFERROR(__xludf.DUMMYFUNCTION("IMPORTRANGE(""https://docs.google.com/spreadsheets/d/1SX6NBoVAgQJ6U1MVXOaj8PK2l7WJ3RER9xtqwdhxkhw/edit?usp=sharing"",""สุพรรณบุรี!J166"")"),0)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IFERROR(__xludf.DUMMYFUNCTION("IMPORTRANGE(""https://docs.google.com/spreadsheets/d/1SX6NBoVAgQJ6U1MVXOaj8PK2l7WJ3RER9xtqwdhxkhw/edit?usp=sharing"",""สุพรรณบุรี!J166"")"),0)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IFERROR(__xludf.DUMMYFUNCTION("IMPORTRANGE(""https://docs.google.com/spreadsheets/d/1SX6NBoVAgQJ6U1MVXOaj8PK2l7WJ3RER9xtqwdhxkhw/edit?usp=sharing"",""สุพรรณบุรี!I506"")"),100)</f>
        <v>100</v>
      </c>
      <c r="J611" s="162">
        <f ca="1">IFERROR(__xludf.DUMMYFUNCTION("IMPORTRANGE(""https://docs.google.com/spreadsheets/d/1SX6NBoVAgQJ6U1MVXOaj8PK2l7WJ3RER9xtqwdhxkhw/edit?usp=sharing"",""สุพรรณบุรี!J506"")"),0)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IFERROR(__xludf.DUMMYFUNCTION("IMPORTRANGE(""https://docs.google.com/spreadsheets/d/1SX6NBoVAgQJ6U1MVXOaj8PK2l7WJ3RER9xtqwdhxkhw/edit?usp=sharing"",""สุพรรณบุรี!I507"")"),0)</f>
        <v>0</v>
      </c>
      <c r="J612" s="198">
        <f ca="1">IFERROR(__xludf.DUMMYFUNCTION("IMPORTRANGE(""https://docs.google.com/spreadsheets/d/1SX6NBoVAgQJ6U1MVXOaj8PK2l7WJ3RER9xtqwdhxkhw/edit?usp=sharing"",""สุพรรณบุรี!J507"")"),188)</f>
        <v>188</v>
      </c>
      <c r="K612" s="163">
        <f t="shared" ca="1" si="127"/>
        <v>188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IFERROR(__xludf.DUMMYFUNCTION("IMPORTRANGE(""https://docs.google.com/spreadsheets/d/1SX6NBoVAgQJ6U1MVXOaj8PK2l7WJ3RER9xtqwdhxkhw/edit?usp=sharing"",""สุพรรณบุรี!I508"")"),0)</f>
        <v>0</v>
      </c>
      <c r="J613" s="198">
        <f ca="1">IFERROR(__xludf.DUMMYFUNCTION("IMPORTRANGE(""https://docs.google.com/spreadsheets/d/1SX6NBoVAgQJ6U1MVXOaj8PK2l7WJ3RER9xtqwdhxkhw/edit?usp=sharing"",""สุพรรณบุรี!J508"")"),188)</f>
        <v>188</v>
      </c>
      <c r="K613" s="163">
        <f t="shared" ca="1" si="127"/>
        <v>188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IFERROR(__xludf.DUMMYFUNCTION("IMPORTRANGE(""https://docs.google.com/spreadsheets/d/1SX6NBoVAgQJ6U1MVXOaj8PK2l7WJ3RER9xtqwdhxkhw/edit?usp=sharing"",""สุพรรณบุรี!I509"")"),0)</f>
        <v>0</v>
      </c>
      <c r="J614" s="198">
        <f ca="1">IFERROR(__xludf.DUMMYFUNCTION("IMPORTRANGE(""https://docs.google.com/spreadsheets/d/1SX6NBoVAgQJ6U1MVXOaj8PK2l7WJ3RER9xtqwdhxkhw/edit?usp=sharing"",""สุพรรณบุรี!J509"")"),188)</f>
        <v>188</v>
      </c>
      <c r="K614" s="163">
        <f t="shared" ca="1" si="127"/>
        <v>188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IFERROR(__xludf.DUMMYFUNCTION("IMPORTRANGE(""https://docs.google.com/spreadsheets/d/1SX6NBoVAgQJ6U1MVXOaj8PK2l7WJ3RER9xtqwdhxkhw/edit?usp=sharing"",""สุพรรณบุรี!I510"")"),0)</f>
        <v>0</v>
      </c>
      <c r="J615" s="198">
        <f ca="1">IFERROR(__xludf.DUMMYFUNCTION("IMPORTRANGE(""https://docs.google.com/spreadsheets/d/1SX6NBoVAgQJ6U1MVXOaj8PK2l7WJ3RER9xtqwdhxkhw/edit?usp=sharing"",""สุพรรณบุรี!J510"")"),105)</f>
        <v>105</v>
      </c>
      <c r="K615" s="163">
        <f t="shared" ca="1" si="127"/>
        <v>105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IFERROR(__xludf.DUMMYFUNCTION("IMPORTRANGE(""https://docs.google.com/spreadsheets/d/1SX6NBoVAgQJ6U1MVXOaj8PK2l7WJ3RER9xtqwdhxkhw/edit?usp=sharing"",""สุพรรณบุรี!I511"")"),0)</f>
        <v>0</v>
      </c>
      <c r="J616" s="198">
        <f ca="1">IFERROR(__xludf.DUMMYFUNCTION("IMPORTRANGE(""https://docs.google.com/spreadsheets/d/1SX6NBoVAgQJ6U1MVXOaj8PK2l7WJ3RER9xtqwdhxkhw/edit?usp=sharing"",""สุพรรณบุรี!J511"")"),105)</f>
        <v>105</v>
      </c>
      <c r="K616" s="163">
        <f t="shared" ca="1" si="127"/>
        <v>105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IFERROR(__xludf.DUMMYFUNCTION("IMPORTRANGE(""https://docs.google.com/spreadsheets/d/1SX6NBoVAgQJ6U1MVXOaj8PK2l7WJ3RER9xtqwdhxkhw/edit?usp=sharing"",""สุพรรณบุรี!I512"")"),0)</f>
        <v>0</v>
      </c>
      <c r="J617" s="188">
        <f ca="1">IFERROR(__xludf.DUMMYFUNCTION("IMPORTRANGE(""https://docs.google.com/spreadsheets/d/1SX6NBoVAgQJ6U1MVXOaj8PK2l7WJ3RER9xtqwdhxkhw/edit?usp=sharing"",""สุพรรณบุรี!J512"")"),0)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IFERROR(__xludf.DUMMYFUNCTION("IMPORTRANGE(""https://docs.google.com/spreadsheets/d/1SX6NBoVAgQJ6U1MVXOaj8PK2l7WJ3RER9xtqwdhxkhw/edit?usp=sharing"",""สุพรรณบุรี!I513"")"),0)</f>
        <v>0</v>
      </c>
      <c r="J618" s="189">
        <f ca="1">IFERROR(__xludf.DUMMYFUNCTION("IMPORTRANGE(""https://docs.google.com/spreadsheets/d/1SX6NBoVAgQJ6U1MVXOaj8PK2l7WJ3RER9xtqwdhxkhw/edit?usp=sharing"",""สุพรรณบุรี!J513"")"),0)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IFERROR(__xludf.DUMMYFUNCTION("IMPORTRANGE(""https://docs.google.com/spreadsheets/d/1SX6NBoVAgQJ6U1MVXOaj8PK2l7WJ3RER9xtqwdhxkhw/edit?usp=sharing"",""สุพรรณบุรี!I514"")"),0)</f>
        <v>0</v>
      </c>
      <c r="J619" s="189">
        <f ca="1">IFERROR(__xludf.DUMMYFUNCTION("IMPORTRANGE(""https://docs.google.com/spreadsheets/d/1SX6NBoVAgQJ6U1MVXOaj8PK2l7WJ3RER9xtqwdhxkhw/edit?usp=sharing"",""สุพรรณบุรี!J514"")"),0)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IFERROR(__xludf.DUMMYFUNCTION("IMPORTRANGE(""https://docs.google.com/spreadsheets/d/1SX6NBoVAgQJ6U1MVXOaj8PK2l7WJ3RER9xtqwdhxkhw/edit?usp=sharing"",""สุพรรณบุรี!I515"")"),73)</f>
        <v>73</v>
      </c>
      <c r="J620" s="203">
        <f ca="1">IFERROR(__xludf.DUMMYFUNCTION("IMPORTRANGE(""https://docs.google.com/spreadsheets/d/1SX6NBoVAgQJ6U1MVXOaj8PK2l7WJ3RER9xtqwdhxkhw/edit?usp=sharing"",""สุพรรณบุรี!J515"")"),0)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IFERROR(__xludf.DUMMYFUNCTION("IMPORTRANGE(""https://docs.google.com/spreadsheets/d/1SX6NBoVAgQJ6U1MVXOaj8PK2l7WJ3RER9xtqwdhxkhw/edit?usp=sharing"",""สุพรรณบุรี!I516"")"),0)</f>
        <v>0</v>
      </c>
      <c r="J621" s="203">
        <f ca="1">IFERROR(__xludf.DUMMYFUNCTION("IMPORTRANGE(""https://docs.google.com/spreadsheets/d/1SX6NBoVAgQJ6U1MVXOaj8PK2l7WJ3RER9xtqwdhxkhw/edit?usp=sharing"",""สุพรรณบุรี!J516"")"),0)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IFERROR(__xludf.DUMMYFUNCTION("IMPORTRANGE(""https://docs.google.com/spreadsheets/d/1SX6NBoVAgQJ6U1MVXOaj8PK2l7WJ3RER9xtqwdhxkhw/edit?usp=sharing"",""สุพรรณบุรี!I517"")"),0)</f>
        <v>0</v>
      </c>
      <c r="J622" s="189">
        <f ca="1">IFERROR(__xludf.DUMMYFUNCTION("IMPORTRANGE(""https://docs.google.com/spreadsheets/d/1SX6NBoVAgQJ6U1MVXOaj8PK2l7WJ3RER9xtqwdhxkhw/edit?usp=sharing"",""สุพรรณบุรี!J517"")"),0)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IFERROR(__xludf.DUMMYFUNCTION("IMPORTRANGE(""https://docs.google.com/spreadsheets/d/1SX6NBoVAgQJ6U1MVXOaj8PK2l7WJ3RER9xtqwdhxkhw/edit?usp=sharing"",""สุพรรณบุรี!I518"")"),0)</f>
        <v>0</v>
      </c>
      <c r="J623" s="189">
        <f ca="1">IFERROR(__xludf.DUMMYFUNCTION("IMPORTRANGE(""https://docs.google.com/spreadsheets/d/1SX6NBoVAgQJ6U1MVXOaj8PK2l7WJ3RER9xtqwdhxkhw/edit?usp=sharing"",""สุพรรณบุรี!J518"")"),0)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IFERROR(__xludf.DUMMYFUNCTION("IMPORTRANGE(""https://docs.google.com/spreadsheets/d/1SX6NBoVAgQJ6U1MVXOaj8PK2l7WJ3RER9xtqwdhxkhw/edit?usp=sharing"",""สุพรรณบุรี!I519"")"),0)</f>
        <v>0</v>
      </c>
      <c r="J624" s="188">
        <f ca="1">IFERROR(__xludf.DUMMYFUNCTION("IMPORTRANGE(""https://docs.google.com/spreadsheets/d/1SX6NBoVAgQJ6U1MVXOaj8PK2l7WJ3RER9xtqwdhxkhw/edit?usp=sharing"",""สุพรรณบุรี!J519"")"),0)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IFERROR(__xludf.DUMMYFUNCTION("IMPORTRANGE(""https://docs.google.com/spreadsheets/d/1SX6NBoVAgQJ6U1MVXOaj8PK2l7WJ3RER9xtqwdhxkhw/edit?usp=sharing"",""สุพรรณบุรี!I520"")"),0)</f>
        <v>0</v>
      </c>
      <c r="J625" s="189">
        <f ca="1">IFERROR(__xludf.DUMMYFUNCTION("IMPORTRANGE(""https://docs.google.com/spreadsheets/d/1SX6NBoVAgQJ6U1MVXOaj8PK2l7WJ3RER9xtqwdhxkhw/edit?usp=sharing"",""สุพรรณบุรี!J520"")"),0)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IFERROR(__xludf.DUMMYFUNCTION("IMPORTRANGE(""https://docs.google.com/spreadsheets/d/1SX6NBoVAgQJ6U1MVXOaj8PK2l7WJ3RER9xtqwdhxkhw/edit?usp=sharing"",""สุพรรณบุรี!I521"")"),0)</f>
        <v>0</v>
      </c>
      <c r="J626" s="189">
        <f ca="1">IFERROR(__xludf.DUMMYFUNCTION("IMPORTRANGE(""https://docs.google.com/spreadsheets/d/1SX6NBoVAgQJ6U1MVXOaj8PK2l7WJ3RER9xtqwdhxkhw/edit?usp=sharing"",""สุพรรณบุรี!J521"")"),0)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IFERROR(__xludf.DUMMYFUNCTION("IMPORTRANGE(""https://docs.google.com/spreadsheets/d/1SX6NBoVAgQJ6U1MVXOaj8PK2l7WJ3RER9xtqwdhxkhw/edit?usp=sharing"",""สุพรรณบุรี!I523"")"),21787479.79)</f>
        <v>21787479.789999999</v>
      </c>
      <c r="J628" s="341">
        <f ca="1">IFERROR(__xludf.DUMMYFUNCTION("IMPORTRANGE(""https://docs.google.com/spreadsheets/d/1SX6NBoVAgQJ6U1MVXOaj8PK2l7WJ3RER9xtqwdhxkhw/edit?usp=sharing"",""สุพรรณบุรี!J523"")"),4920000)</f>
        <v>4920000</v>
      </c>
      <c r="K628" s="342">
        <f t="shared" ref="K628:K635" ca="1" si="129">IF(I628&gt;0,J628*100/I628,0)</f>
        <v>22.581776540571607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IFERROR(__xludf.DUMMYFUNCTION("IMPORTRANGE(""https://docs.google.com/spreadsheets/d/1SX6NBoVAgQJ6U1MVXOaj8PK2l7WJ3RER9xtqwdhxkhw/edit?usp=sharing"",""สุพรรณบุรี!I524"")"),514)</f>
        <v>514</v>
      </c>
      <c r="J629" s="341">
        <f ca="1">IFERROR(__xludf.DUMMYFUNCTION("IMPORTRANGE(""https://docs.google.com/spreadsheets/d/1SX6NBoVAgQJ6U1MVXOaj8PK2l7WJ3RER9xtqwdhxkhw/edit?usp=sharing"",""สุพรรณบุรี!J524"")"),128)</f>
        <v>128</v>
      </c>
      <c r="K629" s="342">
        <f t="shared" ca="1" si="129"/>
        <v>24.902723735408561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IFERROR(__xludf.DUMMYFUNCTION("IMPORTRANGE(""https://docs.google.com/spreadsheets/d/1SX6NBoVAgQJ6U1MVXOaj8PK2l7WJ3RER9xtqwdhxkhw/edit?usp=sharing"",""สุพรรณบุรี!I525"")"),3870443.59)</f>
        <v>3870443.59</v>
      </c>
      <c r="J630" s="341">
        <f ca="1">IFERROR(__xludf.DUMMYFUNCTION("IMPORTRANGE(""https://docs.google.com/spreadsheets/d/1SX6NBoVAgQJ6U1MVXOaj8PK2l7WJ3RER9xtqwdhxkhw/edit?usp=sharing"",""สุพรรณบุรี!J525"")"),306837.19)</f>
        <v>306837.19</v>
      </c>
      <c r="K630" s="342">
        <f t="shared" ca="1" si="129"/>
        <v>7.9277008659361448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IFERROR(__xludf.DUMMYFUNCTION("IMPORTRANGE(""https://docs.google.com/spreadsheets/d/1SX6NBoVAgQJ6U1MVXOaj8PK2l7WJ3RER9xtqwdhxkhw/edit?usp=sharing"",""สุพรรณบุรี!I526"")"),79)</f>
        <v>79</v>
      </c>
      <c r="J631" s="341">
        <f ca="1">IFERROR(__xludf.DUMMYFUNCTION("IMPORTRANGE(""https://docs.google.com/spreadsheets/d/1SX6NBoVAgQJ6U1MVXOaj8PK2l7WJ3RER9xtqwdhxkhw/edit?usp=sharing"",""สุพรรณบุรี!J526"")"),75)</f>
        <v>75</v>
      </c>
      <c r="K631" s="342">
        <f t="shared" ca="1" si="129"/>
        <v>94.936708860759495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IFERROR(__xludf.DUMMYFUNCTION("IMPORTRANGE(""https://docs.google.com/spreadsheets/d/1SX6NBoVAgQJ6U1MVXOaj8PK2l7WJ3RER9xtqwdhxkhw/edit?usp=sharing"",""สุพรรณบุรี!I527"")"),2331038.08)</f>
        <v>2331038.08</v>
      </c>
      <c r="J632" s="341">
        <f ca="1">IFERROR(__xludf.DUMMYFUNCTION("IMPORTRANGE(""https://docs.google.com/spreadsheets/d/1SX6NBoVAgQJ6U1MVXOaj8PK2l7WJ3RER9xtqwdhxkhw/edit?usp=sharing"",""สุพรรณบุรี!J527"")"),419797.93)</f>
        <v>419797.93</v>
      </c>
      <c r="K632" s="342">
        <f t="shared" ca="1" si="129"/>
        <v>18.009055004369554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IFERROR(__xludf.DUMMYFUNCTION("IMPORTRANGE(""https://docs.google.com/spreadsheets/d/1SX6NBoVAgQJ6U1MVXOaj8PK2l7WJ3RER9xtqwdhxkhw/edit?usp=sharing"",""สุพรรณบุรี!I528"")"),528)</f>
        <v>528</v>
      </c>
      <c r="J633" s="341">
        <f ca="1">IFERROR(__xludf.DUMMYFUNCTION("IMPORTRANGE(""https://docs.google.com/spreadsheets/d/1SX6NBoVAgQJ6U1MVXOaj8PK2l7WJ3RER9xtqwdhxkhw/edit?usp=sharing"",""สุพรรณบุรี!J528"")"),124)</f>
        <v>124</v>
      </c>
      <c r="K633" s="342">
        <f t="shared" ca="1" si="129"/>
        <v>23.484848484848484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IFERROR(__xludf.DUMMYFUNCTION("IMPORTRANGE(""https://docs.google.com/spreadsheets/d/1SX6NBoVAgQJ6U1MVXOaj8PK2l7WJ3RER9xtqwdhxkhw/edit?usp=sharing"",""สุพรรณบุรี!I529"")"),22940000)</f>
        <v>22940000</v>
      </c>
      <c r="J634" s="341">
        <f ca="1">IFERROR(__xludf.DUMMYFUNCTION("IMPORTRANGE(""https://docs.google.com/spreadsheets/d/1SX6NBoVAgQJ6U1MVXOaj8PK2l7WJ3RER9xtqwdhxkhw/edit?usp=sharing"",""สุพรรณบุรี!J529"")"),4530000)</f>
        <v>4530000</v>
      </c>
      <c r="K634" s="342">
        <f t="shared" ca="1" si="129"/>
        <v>19.747166521360068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IFERROR(__xludf.DUMMYFUNCTION("IMPORTRANGE(""https://docs.google.com/spreadsheets/d/1SX6NBoVAgQJ6U1MVXOaj8PK2l7WJ3RER9xtqwdhxkhw/edit?usp=sharing"",""สุพรรณบุรี!I530"")"),568)</f>
        <v>568</v>
      </c>
      <c r="J635" s="504">
        <f ca="1">IFERROR(__xludf.DUMMYFUNCTION("IMPORTRANGE(""https://docs.google.com/spreadsheets/d/1SX6NBoVAgQJ6U1MVXOaj8PK2l7WJ3RER9xtqwdhxkhw/edit?usp=sharing"",""สุพรรณบุรี!J530"")"),114)</f>
        <v>114</v>
      </c>
      <c r="K635" s="486">
        <f t="shared" ca="1" si="129"/>
        <v>20.070422535211268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278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1995350</v>
      </c>
      <c r="M8" s="23">
        <f t="shared" ca="1" si="0"/>
        <v>1294507.32</v>
      </c>
      <c r="N8" s="23">
        <f t="shared" ca="1" si="0"/>
        <v>1111780.6299999999</v>
      </c>
      <c r="O8" s="22">
        <f t="shared" ref="O8:O16" ca="1" si="1">IF(L8&gt;0,N8*100/L8,0)</f>
        <v>55.718577191971328</v>
      </c>
      <c r="P8" s="22">
        <f t="shared" ref="P8:P16" ca="1" si="2">IF(M8&gt;0,N8*100/M8,0)</f>
        <v>85.884460661064452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1995350</v>
      </c>
      <c r="M10" s="30">
        <f t="shared" ca="1" si="4"/>
        <v>1294507.32</v>
      </c>
      <c r="N10" s="30">
        <f t="shared" ca="1" si="4"/>
        <v>1111780.6299999999</v>
      </c>
      <c r="O10" s="29">
        <f t="shared" ca="1" si="1"/>
        <v>55.718577191971328</v>
      </c>
      <c r="P10" s="29">
        <f t="shared" ca="1" si="2"/>
        <v>85.884460661064452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1856350</v>
      </c>
      <c r="M12" s="38">
        <f t="shared" ca="1" si="6"/>
        <v>1155507.32</v>
      </c>
      <c r="N12" s="38">
        <f t="shared" ca="1" si="6"/>
        <v>972780.63</v>
      </c>
      <c r="O12" s="38">
        <f t="shared" ca="1" si="1"/>
        <v>52.402867454951924</v>
      </c>
      <c r="P12" s="38">
        <f t="shared" ca="1" si="2"/>
        <v>84.186453271451356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1449900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406450</v>
      </c>
      <c r="M14" s="38">
        <f t="shared" si="8"/>
        <v>0</v>
      </c>
      <c r="N14" s="38">
        <f t="shared" ca="1" si="8"/>
        <v>82953</v>
      </c>
      <c r="O14" s="38">
        <f t="shared" ca="1" si="1"/>
        <v>20.409152417271496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1665410</v>
      </c>
      <c r="M18" s="23">
        <f t="shared" ca="1" si="11"/>
        <v>1294507.32</v>
      </c>
      <c r="N18" s="23">
        <f t="shared" ca="1" si="11"/>
        <v>1028827.63</v>
      </c>
      <c r="O18" s="22">
        <f t="shared" ref="O18:O20" ca="1" si="12">IF(L18&gt;0,N18*100/L18,0)</f>
        <v>61.776237082760403</v>
      </c>
      <c r="P18" s="22">
        <f t="shared" ref="P18:P26" ca="1" si="13">IF(M18&gt;0,N18*100/M18,0)</f>
        <v>79.47638565689995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1665410</v>
      </c>
      <c r="M20" s="30">
        <f t="shared" ca="1" si="15"/>
        <v>1294507.32</v>
      </c>
      <c r="N20" s="30">
        <f t="shared" ca="1" si="15"/>
        <v>1028827.63</v>
      </c>
      <c r="O20" s="29">
        <f t="shared" ca="1" si="12"/>
        <v>61.776237082760403</v>
      </c>
      <c r="P20" s="29">
        <f t="shared" ca="1" si="13"/>
        <v>79.47638565689995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1526410</v>
      </c>
      <c r="M22" s="41">
        <f t="shared" ca="1" si="18"/>
        <v>1155507.32</v>
      </c>
      <c r="N22" s="38">
        <f t="shared" ca="1" si="18"/>
        <v>889827.63</v>
      </c>
      <c r="O22" s="38">
        <f t="shared" ca="1" si="17"/>
        <v>58.295453384084226</v>
      </c>
      <c r="P22" s="38">
        <f t="shared" ca="1" si="13"/>
        <v>77.007528606569096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1449900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76510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329940</v>
      </c>
      <c r="M28" s="23">
        <f t="shared" si="23"/>
        <v>0</v>
      </c>
      <c r="N28" s="23">
        <f t="shared" ca="1" si="23"/>
        <v>82953</v>
      </c>
      <c r="O28" s="22">
        <f t="shared" ref="O28:O30" ca="1" si="24">IF(L28&gt;0,N28*100/L28,0)</f>
        <v>25.141843971631207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329940</v>
      </c>
      <c r="M30" s="30">
        <f t="shared" si="27"/>
        <v>0</v>
      </c>
      <c r="N30" s="30">
        <f t="shared" ca="1" si="27"/>
        <v>82953</v>
      </c>
      <c r="O30" s="29">
        <f t="shared" ca="1" si="24"/>
        <v>25.141843971631207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329940</v>
      </c>
      <c r="M32" s="38">
        <f t="shared" si="30"/>
        <v>0</v>
      </c>
      <c r="N32" s="38">
        <f t="shared" ca="1" si="30"/>
        <v>82953</v>
      </c>
      <c r="O32" s="38">
        <f t="shared" ca="1" si="29"/>
        <v>25.141843971631207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329940</v>
      </c>
      <c r="M34" s="38">
        <f t="shared" si="32"/>
        <v>0</v>
      </c>
      <c r="N34" s="38">
        <f t="shared" ca="1" si="32"/>
        <v>82953</v>
      </c>
      <c r="O34" s="38">
        <f t="shared" ca="1" si="29"/>
        <v>25.141843971631207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1665410</v>
      </c>
      <c r="M37" s="54">
        <f t="shared" ca="1" si="33"/>
        <v>1294507.32</v>
      </c>
      <c r="N37" s="54">
        <f t="shared" ca="1" si="33"/>
        <v>1028827.63</v>
      </c>
      <c r="O37" s="55">
        <f t="shared" ca="1" si="29"/>
        <v>61.776237082760403</v>
      </c>
      <c r="P37" s="55">
        <f t="shared" ca="1" si="25"/>
        <v>79.47638565689995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836100</v>
      </c>
      <c r="M41" s="78">
        <f t="shared" ca="1" si="34"/>
        <v>627100</v>
      </c>
      <c r="N41" s="78">
        <f t="shared" ca="1" si="34"/>
        <v>545891.63</v>
      </c>
      <c r="O41" s="77">
        <f t="shared" ref="O41:O43" ca="1" si="35">IF(L41&gt;0,N41*100/L41,0)</f>
        <v>65.290232029661524</v>
      </c>
      <c r="P41" s="77">
        <f t="shared" ref="P41:P43" ca="1" si="36">IF(M41&gt;0,N41*100/M41,0)</f>
        <v>87.050172221336311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836100</v>
      </c>
      <c r="M43" s="78">
        <f t="shared" ca="1" si="38"/>
        <v>627100</v>
      </c>
      <c r="N43" s="78">
        <f t="shared" ca="1" si="38"/>
        <v>545891.63</v>
      </c>
      <c r="O43" s="77">
        <f t="shared" ca="1" si="35"/>
        <v>65.290232029661524</v>
      </c>
      <c r="P43" s="77">
        <f t="shared" ca="1" si="36"/>
        <v>87.050172221336311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836100</v>
      </c>
      <c r="M45" s="49">
        <f ca="1">IFERROR(__xludf.DUMMYFUNCTION("IMPORTRANGE(""https://docs.google.com/spreadsheets/d/1Yj_ptqi66GCucihVvJfMjLAmec39IyEx_6qawtMGysU/edit?usp=sharing"",""สบก!Q79"")"),627100)</f>
        <v>627100</v>
      </c>
      <c r="N45" s="49">
        <f ca="1">IFERROR(__xludf.DUMMYFUNCTION("IMPORTRANGE(""https://docs.google.com/spreadsheets/d/1Yj_ptqi66GCucihVvJfMjLAmec39IyEx_6qawtMGysU/edit?usp=sharing"",""สบก!R79"")"),545891.63)</f>
        <v>545891.63</v>
      </c>
      <c r="O45" s="38">
        <f ca="1">IF(L45&gt;0,N45*100/L45,0)</f>
        <v>65.290232029661524</v>
      </c>
      <c r="P45" s="38">
        <f ca="1">IF(M45&gt;0,N45*100/M45,0)</f>
        <v>87.050172221336311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IFERROR(__xludf.DUMMYFUNCTION("IMPORTRANGE(""https://docs.google.com/spreadsheets/d/1Yj_ptqi66GCucihVvJfMjLAmec39IyEx_6qawtMGysU/edit?usp=sharing"",""สบก!M79"")"),836100)</f>
        <v>836100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IFERROR(__xludf.DUMMYFUNCTION("IMPORTRANGE(""https://docs.google.com/spreadsheets/d/1Yj_ptqi66GCucihVvJfMjLAmec39IyEx_6qawtMGysU/edit?usp=sharing"",""สบก!O79"")"),0)</f>
        <v>0</v>
      </c>
      <c r="M49" s="49"/>
      <c r="N49" s="49">
        <f ca="1">IFERROR(__xludf.DUMMYFUNCTION("IMPORTRANGE(""https://docs.google.com/spreadsheets/d/1Yj_ptqi66GCucihVvJfMjLAmec39IyEx_6qawtMGysU/edit?usp=sharing"",""สบก!S79"")"),0)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120000</v>
      </c>
      <c r="M53" s="121">
        <f t="shared" ca="1" si="39"/>
        <v>104422.32</v>
      </c>
      <c r="N53" s="121">
        <f t="shared" ca="1" si="39"/>
        <v>81964</v>
      </c>
      <c r="O53" s="120">
        <f t="shared" ref="O53:O55" ca="1" si="40">IF(L53&gt;0,N53*100/L53,0)</f>
        <v>68.303333333333327</v>
      </c>
      <c r="P53" s="120">
        <f t="shared" ref="P53:P55" ca="1" si="41">IF(M53&gt;0,N53*100/M53,0)</f>
        <v>78.492797325322783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120000</v>
      </c>
      <c r="M55" s="121">
        <f t="shared" ca="1" si="43"/>
        <v>104422.32</v>
      </c>
      <c r="N55" s="121">
        <f t="shared" ca="1" si="43"/>
        <v>81964</v>
      </c>
      <c r="O55" s="120">
        <f t="shared" ca="1" si="40"/>
        <v>68.303333333333327</v>
      </c>
      <c r="P55" s="120">
        <f t="shared" ca="1" si="41"/>
        <v>78.492797325322783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120000</v>
      </c>
      <c r="M57" s="49">
        <f ca="1">IFERROR(__xludf.DUMMYFUNCTION("IMPORTRANGE(""https://docs.google.com/spreadsheets/d/1Yj_ptqi66GCucihVvJfMjLAmec39IyEx_6qawtMGysU/edit?usp=sharing"",""สบก!Z79"")"),104422.32)</f>
        <v>104422.32</v>
      </c>
      <c r="N57" s="49">
        <f ca="1">IFERROR(__xludf.DUMMYFUNCTION("IMPORTRANGE(""https://docs.google.com/spreadsheets/d/1Yj_ptqi66GCucihVvJfMjLAmec39IyEx_6qawtMGysU/edit?usp=sharing"",""สบก!AA79"")"),81964)</f>
        <v>81964</v>
      </c>
      <c r="O57" s="38">
        <f ca="1">IF(L57&gt;0,N57*100/L57,0)</f>
        <v>68.303333333333327</v>
      </c>
      <c r="P57" s="38">
        <f ca="1">IF(M57&gt;0,N57*100/M57,0)</f>
        <v>78.492797325322783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IFERROR(__xludf.DUMMYFUNCTION("IMPORTRANGE(""https://docs.google.com/spreadsheets/d/1Yj_ptqi66GCucihVvJfMjLAmec39IyEx_6qawtMGysU/edit?usp=sharing"",""สบก!V79"")"),120000)</f>
        <v>120000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IFERROR(__xludf.DUMMYFUNCTION("IMPORTRANGE(""https://docs.google.com/spreadsheets/d/1Yj_ptqi66GCucihVvJfMjLAmec39IyEx_6qawtMGysU/edit?usp=sharing"",""สบก!X79"")"),0)</f>
        <v>0</v>
      </c>
      <c r="M61" s="49"/>
      <c r="N61" s="49">
        <f ca="1">IFERROR(__xludf.DUMMYFUNCTION("IMPORTRANGE(""https://docs.google.com/spreadsheets/d/1Yj_ptqi66GCucihVvJfMjLAmec39IyEx_6qawtMGysU/edit?usp=sharing"",""สบก!AB79"")"),0)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IFERROR(__xludf.DUMMYFUNCTION("IMPORTRANGE(""https://docs.google.com/spreadsheets/d/1SX6NBoVAgQJ6U1MVXOaj8PK2l7WJ3RER9xtqwdhxkhw/edit?usp=sharing"",""อ่างทอง!I9"")"),0)</f>
        <v>0</v>
      </c>
      <c r="J64" s="142">
        <f ca="1">IFERROR(__xludf.DUMMYFUNCTION("IMPORTRANGE(""https://docs.google.com/spreadsheets/d/1SX6NBoVAgQJ6U1MVXOaj8PK2l7WJ3RER9xtqwdhxkhw/edit?usp=sharing"",""อ่างทอง!J9"")"),0)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IFERROR(__xludf.DUMMYFUNCTION("IMPORTRANGE(""https://docs.google.com/spreadsheets/d/1SX6NBoVAgQJ6U1MVXOaj8PK2l7WJ3RER9xtqwdhxkhw/edit?usp=sharing"",""อ่างทอง!I10"")"),0)</f>
        <v>0</v>
      </c>
      <c r="J65" s="142">
        <f ca="1">IFERROR(__xludf.DUMMYFUNCTION("IMPORTRANGE(""https://docs.google.com/spreadsheets/d/1SX6NBoVAgQJ6U1MVXOaj8PK2l7WJ3RER9xtqwdhxkhw/edit?usp=sharing"",""อ่างทอง!J10"")"),0)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IFERROR(__xludf.DUMMYFUNCTION("IMPORTRANGE(""https://docs.google.com/spreadsheets/d/1Yj_ptqi66GCucihVvJfMjLAmec39IyEx_6qawtMGysU/edit?usp=sharing"",""สบก!AI79"")"),0)</f>
        <v>0</v>
      </c>
      <c r="N70" s="169">
        <f ca="1">IFERROR(__xludf.DUMMYFUNCTION("IMPORTRANGE(""https://docs.google.com/spreadsheets/d/1Yj_ptqi66GCucihVvJfMjLAmec39IyEx_6qawtMGysU/edit?usp=sharing"",""สบก!AJ79"")"),0)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IFERROR(__xludf.DUMMYFUNCTION("IMPORTRANGE(""https://docs.google.com/spreadsheets/d/1Yj_ptqi66GCucihVvJfMjLAmec39IyEx_6qawtMGysU/edit?usp=sharing"",""สบก!AE79"")"),0)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IFERROR(__xludf.DUMMYFUNCTION("IMPORTRANGE(""https://docs.google.com/spreadsheets/d/1Yj_ptqi66GCucihVvJfMjLAmec39IyEx_6qawtMGysU/edit?usp=sharing"",""สบก!AF79"")"),0)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IFERROR(__xludf.DUMMYFUNCTION("IMPORTRANGE(""https://docs.google.com/spreadsheets/d/1Yj_ptqi66GCucihVvJfMjLAmec39IyEx_6qawtMGysU/edit?usp=sharing"",""สบก!AG79"")"),0)</f>
        <v>0</v>
      </c>
      <c r="M74" s="49"/>
      <c r="N74" s="49">
        <f ca="1">IFERROR(__xludf.DUMMYFUNCTION("IMPORTRANGE(""https://docs.google.com/spreadsheets/d/1Yj_ptqi66GCucihVvJfMjLAmec39IyEx_6qawtMGysU/edit?usp=sharing"",""สบก!AK79"")"),0)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IFERROR(__xludf.DUMMYFUNCTION("IMPORTRANGE(""https://docs.google.com/spreadsheets/d/1SX6NBoVAgQJ6U1MVXOaj8PK2l7WJ3RER9xtqwdhxkhw/edit?usp=sharing"",""อ่างทอง!J16"")"),0)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IFERROR(__xludf.DUMMYFUNCTION("IMPORTRANGE(""https://docs.google.com/spreadsheets/d/1SX6NBoVAgQJ6U1MVXOaj8PK2l7WJ3RER9xtqwdhxkhw/edit?usp=sharing"",""อ่างทอง!J17"")"),0)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IFERROR(__xludf.DUMMYFUNCTION("IMPORTRANGE(""https://docs.google.com/spreadsheets/d/1SX6NBoVAgQJ6U1MVXOaj8PK2l7WJ3RER9xtqwdhxkhw/edit?usp=sharing"",""อ่างทอง!J18"")"),0)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IFERROR(__xludf.DUMMYFUNCTION("IMPORTRANGE(""https://docs.google.com/spreadsheets/d/1SX6NBoVAgQJ6U1MVXOaj8PK2l7WJ3RER9xtqwdhxkhw/edit?usp=sharing"",""อ่างทอง!J19"")"),0)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IFERROR(__xludf.DUMMYFUNCTION("IMPORTRANGE(""https://docs.google.com/spreadsheets/d/1SX6NBoVAgQJ6U1MVXOaj8PK2l7WJ3RER9xtqwdhxkhw/edit?usp=sharing"",""อ่างทอง!I20"")"),0)</f>
        <v>0</v>
      </c>
      <c r="J80" s="201">
        <f ca="1">IFERROR(__xludf.DUMMYFUNCTION("IMPORTRANGE(""https://docs.google.com/spreadsheets/d/1SX6NBoVAgQJ6U1MVXOaj8PK2l7WJ3RER9xtqwdhxkhw/edit?usp=sharing"",""อ่างทอง!J20"")"),0)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IFERROR(__xludf.DUMMYFUNCTION("IMPORTRANGE(""https://docs.google.com/spreadsheets/d/1SX6NBoVAgQJ6U1MVXOaj8PK2l7WJ3RER9xtqwdhxkhw/edit?usp=sharing"",""อ่างทอง!I21"")"),0)</f>
        <v>0</v>
      </c>
      <c r="J81" s="201">
        <f ca="1">IFERROR(__xludf.DUMMYFUNCTION("IMPORTRANGE(""https://docs.google.com/spreadsheets/d/1SX6NBoVAgQJ6U1MVXOaj8PK2l7WJ3RER9xtqwdhxkhw/edit?usp=sharing"",""อ่างทอง!J21"")"),0)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IFERROR(__xludf.DUMMYFUNCTION("IMPORTRANGE(""https://docs.google.com/spreadsheets/d/1SX6NBoVAgQJ6U1MVXOaj8PK2l7WJ3RER9xtqwdhxkhw/edit?usp=sharing"",""อ่างทอง!I22"")"),0)</f>
        <v>0</v>
      </c>
      <c r="J82" s="204">
        <f ca="1">IFERROR(__xludf.DUMMYFUNCTION("IMPORTRANGE(""https://docs.google.com/spreadsheets/d/1SX6NBoVAgQJ6U1MVXOaj8PK2l7WJ3RER9xtqwdhxkhw/edit?usp=sharing"",""อ่างทอง!J22"")"),0)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IFERROR(__xludf.DUMMYFUNCTION("IMPORTRANGE(""https://docs.google.com/spreadsheets/d/1SX6NBoVAgQJ6U1MVXOaj8PK2l7WJ3RER9xtqwdhxkhw/edit?usp=sharing"",""อ่างทอง!I23"")"),0)</f>
        <v>0</v>
      </c>
      <c r="J83" s="204">
        <f ca="1">IFERROR(__xludf.DUMMYFUNCTION("IMPORTRANGE(""https://docs.google.com/spreadsheets/d/1SX6NBoVAgQJ6U1MVXOaj8PK2l7WJ3RER9xtqwdhxkhw/edit?usp=sharing"",""อ่างทอง!J23"")"),0)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IFERROR(__xludf.DUMMYFUNCTION("IMPORTRANGE(""https://docs.google.com/spreadsheets/d/1SX6NBoVAgQJ6U1MVXOaj8PK2l7WJ3RER9xtqwdhxkhw/edit?usp=sharing"",""อ่างทอง!I24"")"),0)</f>
        <v>0</v>
      </c>
      <c r="J84" s="189">
        <f ca="1">IFERROR(__xludf.DUMMYFUNCTION("IMPORTRANGE(""https://docs.google.com/spreadsheets/d/1SX6NBoVAgQJ6U1MVXOaj8PK2l7WJ3RER9xtqwdhxkhw/edit?usp=sharing"",""อ่างทอง!J24"")"),0)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IFERROR(__xludf.DUMMYFUNCTION("IMPORTRANGE(""https://docs.google.com/spreadsheets/d/1SX6NBoVAgQJ6U1MVXOaj8PK2l7WJ3RER9xtqwdhxkhw/edit?usp=sharing"",""อ่างทอง!I25"")"),0)</f>
        <v>0</v>
      </c>
      <c r="J85" s="189">
        <f ca="1">IFERROR(__xludf.DUMMYFUNCTION("IMPORTRANGE(""https://docs.google.com/spreadsheets/d/1SX6NBoVAgQJ6U1MVXOaj8PK2l7WJ3RER9xtqwdhxkhw/edit?usp=sharing"",""อ่างทอง!J25"")"),0)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IFERROR(__xludf.DUMMYFUNCTION("IMPORTRANGE(""https://docs.google.com/spreadsheets/d/1SX6NBoVAgQJ6U1MVXOaj8PK2l7WJ3RER9xtqwdhxkhw/edit?usp=sharing"",""อ่างทอง!I26"")"),0)</f>
        <v>0</v>
      </c>
      <c r="J86" s="204">
        <f ca="1">IFERROR(__xludf.DUMMYFUNCTION("IMPORTRANGE(""https://docs.google.com/spreadsheets/d/1SX6NBoVAgQJ6U1MVXOaj8PK2l7WJ3RER9xtqwdhxkhw/edit?usp=sharing"",""อ่างทอง!J26"")"),0)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IFERROR(__xludf.DUMMYFUNCTION("IMPORTRANGE(""https://docs.google.com/spreadsheets/d/1SX6NBoVAgQJ6U1MVXOaj8PK2l7WJ3RER9xtqwdhxkhw/edit?usp=sharing"",""อ่างทอง!I27"")"),0)</f>
        <v>0</v>
      </c>
      <c r="J87" s="204">
        <f ca="1">IFERROR(__xludf.DUMMYFUNCTION("IMPORTRANGE(""https://docs.google.com/spreadsheets/d/1SX6NBoVAgQJ6U1MVXOaj8PK2l7WJ3RER9xtqwdhxkhw/edit?usp=sharing"",""อ่างทอง!J27"")"),0)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IFERROR(__xludf.DUMMYFUNCTION("IMPORTRANGE(""https://docs.google.com/spreadsheets/d/1SX6NBoVAgQJ6U1MVXOaj8PK2l7WJ3RER9xtqwdhxkhw/edit?usp=sharing"",""อ่างทอง!I28"")"),0)</f>
        <v>0</v>
      </c>
      <c r="J88" s="204">
        <f ca="1">IFERROR(__xludf.DUMMYFUNCTION("IMPORTRANGE(""https://docs.google.com/spreadsheets/d/1SX6NBoVAgQJ6U1MVXOaj8PK2l7WJ3RER9xtqwdhxkhw/edit?usp=sharing"",""อ่างทอง!J28"")"),0)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IFERROR(__xludf.DUMMYFUNCTION("IMPORTRANGE(""https://docs.google.com/spreadsheets/d/1SX6NBoVAgQJ6U1MVXOaj8PK2l7WJ3RER9xtqwdhxkhw/edit?usp=sharing"",""อ่างทอง!J29"")"),0)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IFERROR(__xludf.DUMMYFUNCTION("IMPORTRANGE(""https://docs.google.com/spreadsheets/d/1SX6NBoVAgQJ6U1MVXOaj8PK2l7WJ3RER9xtqwdhxkhw/edit?usp=sharing"",""อ่างทอง!J30"")"),0)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IFERROR(__xludf.DUMMYFUNCTION("IMPORTRANGE(""https://docs.google.com/spreadsheets/d/1SX6NBoVAgQJ6U1MVXOaj8PK2l7WJ3RER9xtqwdhxkhw/edit?usp=sharing"",""อ่างทอง!I32"")"),0)</f>
        <v>0</v>
      </c>
      <c r="J92" s="142">
        <f ca="1">IFERROR(__xludf.DUMMYFUNCTION("IMPORTRANGE(""https://docs.google.com/spreadsheets/d/1SX6NBoVAgQJ6U1MVXOaj8PK2l7WJ3RER9xtqwdhxkhw/edit?usp=sharing"",""อ่างทอง!J32"")"),0)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IFERROR(__xludf.DUMMYFUNCTION("IMPORTRANGE(""https://docs.google.com/spreadsheets/d/1SX6NBoVAgQJ6U1MVXOaj8PK2l7WJ3RER9xtqwdhxkhw/edit?usp=sharing"",""อ่างทอง!I33"")"),0)</f>
        <v>0</v>
      </c>
      <c r="J93" s="142">
        <f ca="1">IFERROR(__xludf.DUMMYFUNCTION("IMPORTRANGE(""https://docs.google.com/spreadsheets/d/1SX6NBoVAgQJ6U1MVXOaj8PK2l7WJ3RER9xtqwdhxkhw/edit?usp=sharing"",""อ่างทอง!J33"")"),0)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IFERROR(__xludf.DUMMYFUNCTION("IMPORTRANGE(""https://docs.google.com/spreadsheets/d/1Yj_ptqi66GCucihVvJfMjLAmec39IyEx_6qawtMGysU/edit?usp=sharing"",""สบก!AR79"")"),0)</f>
        <v>0</v>
      </c>
      <c r="N98" s="169">
        <f ca="1">IFERROR(__xludf.DUMMYFUNCTION("IMPORTRANGE(""https://docs.google.com/spreadsheets/d/1Yj_ptqi66GCucihVvJfMjLAmec39IyEx_6qawtMGysU/edit?usp=sharing"",""สบก!AS79"")"),0)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IFERROR(__xludf.DUMMYFUNCTION("IMPORTRANGE(""https://docs.google.com/spreadsheets/d/1Yj_ptqi66GCucihVvJfMjLAmec39IyEx_6qawtMGysU/edit?usp=sharing"",""สบก!AN79"")"),0)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IFERROR(__xludf.DUMMYFUNCTION("IMPORTRANGE(""https://docs.google.com/spreadsheets/d/1Yj_ptqi66GCucihVvJfMjLAmec39IyEx_6qawtMGysU/edit?usp=sharing"",""สบก!AO79"")"),0)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IFERROR(__xludf.DUMMYFUNCTION("IMPORTRANGE(""https://docs.google.com/spreadsheets/d/1Yj_ptqi66GCucihVvJfMjLAmec39IyEx_6qawtMGysU/edit?usp=sharing"",""สบก!AP79"")"),0)</f>
        <v>0</v>
      </c>
      <c r="M102" s="49"/>
      <c r="N102" s="49">
        <f ca="1">IFERROR(__xludf.DUMMYFUNCTION("IMPORTRANGE(""https://docs.google.com/spreadsheets/d/1Yj_ptqi66GCucihVvJfMjLAmec39IyEx_6qawtMGysU/edit?usp=sharing"",""สบก!AT79"")"),0)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IFERROR(__xludf.DUMMYFUNCTION("IMPORTRANGE(""https://docs.google.com/spreadsheets/d/1SX6NBoVAgQJ6U1MVXOaj8PK2l7WJ3RER9xtqwdhxkhw/edit?usp=sharing"",""อ่างทอง!J39"")"),0)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IFERROR(__xludf.DUMMYFUNCTION("IMPORTRANGE(""https://docs.google.com/spreadsheets/d/1SX6NBoVAgQJ6U1MVXOaj8PK2l7WJ3RER9xtqwdhxkhw/edit?usp=sharing"",""อ่างทอง!J40"")"),0)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IFERROR(__xludf.DUMMYFUNCTION("IMPORTRANGE(""https://docs.google.com/spreadsheets/d/1SX6NBoVAgQJ6U1MVXOaj8PK2l7WJ3RER9xtqwdhxkhw/edit?usp=sharing"",""อ่างทอง!J41"")"),0)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IFERROR(__xludf.DUMMYFUNCTION("IMPORTRANGE(""https://docs.google.com/spreadsheets/d/1SX6NBoVAgQJ6U1MVXOaj8PK2l7WJ3RER9xtqwdhxkhw/edit?usp=sharing"",""อ่างทอง!J42"")"),0)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IFERROR(__xludf.DUMMYFUNCTION("IMPORTRANGE(""https://docs.google.com/spreadsheets/d/1SX6NBoVAgQJ6U1MVXOaj8PK2l7WJ3RER9xtqwdhxkhw/edit?usp=sharing"",""อ่างทอง!I43"")"),0)</f>
        <v>0</v>
      </c>
      <c r="J108" s="204">
        <f ca="1">IFERROR(__xludf.DUMMYFUNCTION("IMPORTRANGE(""https://docs.google.com/spreadsheets/d/1SX6NBoVAgQJ6U1MVXOaj8PK2l7WJ3RER9xtqwdhxkhw/edit?usp=sharing"",""อ่างทอง!J43"")"),0)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IFERROR(__xludf.DUMMYFUNCTION("IMPORTRANGE(""https://docs.google.com/spreadsheets/d/1SX6NBoVAgQJ6U1MVXOaj8PK2l7WJ3RER9xtqwdhxkhw/edit?usp=sharing"",""อ่างทอง!I44"")"),0)</f>
        <v>0</v>
      </c>
      <c r="J109" s="204">
        <f ca="1">IFERROR(__xludf.DUMMYFUNCTION("IMPORTRANGE(""https://docs.google.com/spreadsheets/d/1SX6NBoVAgQJ6U1MVXOaj8PK2l7WJ3RER9xtqwdhxkhw/edit?usp=sharing"",""อ่างทอง!J44"")"),0)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IFERROR(__xludf.DUMMYFUNCTION("IMPORTRANGE(""https://docs.google.com/spreadsheets/d/1SX6NBoVAgQJ6U1MVXOaj8PK2l7WJ3RER9xtqwdhxkhw/edit?usp=sharing"",""อ่างทอง!I45"")"),0)</f>
        <v>0</v>
      </c>
      <c r="J110" s="204">
        <f ca="1">IFERROR(__xludf.DUMMYFUNCTION("IMPORTRANGE(""https://docs.google.com/spreadsheets/d/1SX6NBoVAgQJ6U1MVXOaj8PK2l7WJ3RER9xtqwdhxkhw/edit?usp=sharing"",""อ่างทอง!J45"")"),0)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IFERROR(__xludf.DUMMYFUNCTION("IMPORTRANGE(""https://docs.google.com/spreadsheets/d/1SX6NBoVAgQJ6U1MVXOaj8PK2l7WJ3RER9xtqwdhxkhw/edit?usp=sharing"",""อ่างทอง!I46"")"),0)</f>
        <v>0</v>
      </c>
      <c r="J111" s="204">
        <f ca="1">IFERROR(__xludf.DUMMYFUNCTION("IMPORTRANGE(""https://docs.google.com/spreadsheets/d/1SX6NBoVAgQJ6U1MVXOaj8PK2l7WJ3RER9xtqwdhxkhw/edit?usp=sharing"",""อ่างทอง!J46"")"),0)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IFERROR(__xludf.DUMMYFUNCTION("IMPORTRANGE(""https://docs.google.com/spreadsheets/d/1SX6NBoVAgQJ6U1MVXOaj8PK2l7WJ3RER9xtqwdhxkhw/edit?usp=sharing"",""อ่างทอง!I47"")"),0)</f>
        <v>0</v>
      </c>
      <c r="J112" s="204">
        <f ca="1">IFERROR(__xludf.DUMMYFUNCTION("IMPORTRANGE(""https://docs.google.com/spreadsheets/d/1SX6NBoVAgQJ6U1MVXOaj8PK2l7WJ3RER9xtqwdhxkhw/edit?usp=sharing"",""อ่างทอง!J47"")"),0)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IFERROR(__xludf.DUMMYFUNCTION("IMPORTRANGE(""https://docs.google.com/spreadsheets/d/1SX6NBoVAgQJ6U1MVXOaj8PK2l7WJ3RER9xtqwdhxkhw/edit?usp=sharing"",""อ่างทอง!I48"")"),0)</f>
        <v>0</v>
      </c>
      <c r="J113" s="204">
        <f ca="1">IFERROR(__xludf.DUMMYFUNCTION("IMPORTRANGE(""https://docs.google.com/spreadsheets/d/1SX6NBoVAgQJ6U1MVXOaj8PK2l7WJ3RER9xtqwdhxkhw/edit?usp=sharing"",""อ่างทอง!J48"")"),0)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IFERROR(__xludf.DUMMYFUNCTION("IMPORTRANGE(""https://docs.google.com/spreadsheets/d/1SX6NBoVAgQJ6U1MVXOaj8PK2l7WJ3RER9xtqwdhxkhw/edit?usp=sharing"",""อ่างทอง!J49"")"),0)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IFERROR(__xludf.DUMMYFUNCTION("IMPORTRANGE(""https://docs.google.com/spreadsheets/d/1SX6NBoVAgQJ6U1MVXOaj8PK2l7WJ3RER9xtqwdhxkhw/edit?usp=sharing"",""อ่างทอง!J50"")"),0)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IFERROR(__xludf.DUMMYFUNCTION("IMPORTRANGE(""https://docs.google.com/spreadsheets/d/1SX6NBoVAgQJ6U1MVXOaj8PK2l7WJ3RER9xtqwdhxkhw/edit?usp=sharing"",""อ่างทอง!I52"")"),0)</f>
        <v>0</v>
      </c>
      <c r="J117" s="142">
        <f ca="1">IFERROR(__xludf.DUMMYFUNCTION("IMPORTRANGE(""https://docs.google.com/spreadsheets/d/1SX6NBoVAgQJ6U1MVXOaj8PK2l7WJ3RER9xtqwdhxkhw/edit?usp=sharing"",""อ่างทอง!J52"")"),0)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IFERROR(__xludf.DUMMYFUNCTION("IMPORTRANGE(""https://docs.google.com/spreadsheets/d/1Yj_ptqi66GCucihVvJfMjLAmec39IyEx_6qawtMGysU/edit?usp=sharing"",""สบก!BA79"")"),0)</f>
        <v>0</v>
      </c>
      <c r="N122" s="169">
        <f ca="1">IFERROR(__xludf.DUMMYFUNCTION("IMPORTRANGE(""https://docs.google.com/spreadsheets/d/1Yj_ptqi66GCucihVvJfMjLAmec39IyEx_6qawtMGysU/edit?usp=sharing"",""สบก!BB79"")"),0)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IFERROR(__xludf.DUMMYFUNCTION("IMPORTRANGE(""https://docs.google.com/spreadsheets/d/1Yj_ptqi66GCucihVvJfMjLAmec39IyEx_6qawtMGysU/edit?usp=sharing"",""สบก!AW79"")"),0)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IFERROR(__xludf.DUMMYFUNCTION("IMPORTRANGE(""https://docs.google.com/spreadsheets/d/1Yj_ptqi66GCucihVvJfMjLAmec39IyEx_6qawtMGysU/edit?usp=sharing"",""สบก!AX79"")"),0)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IFERROR(__xludf.DUMMYFUNCTION("IMPORTRANGE(""https://docs.google.com/spreadsheets/d/1Yj_ptqi66GCucihVvJfMjLAmec39IyEx_6qawtMGysU/edit?usp=sharing"",""สบก!AY79"")"),0)</f>
        <v>0</v>
      </c>
      <c r="M126" s="49"/>
      <c r="N126" s="49">
        <f ca="1">IFERROR(__xludf.DUMMYFUNCTION("IMPORTRANGE(""https://docs.google.com/spreadsheets/d/1Yj_ptqi66GCucihVvJfMjLAmec39IyEx_6qawtMGysU/edit?usp=sharing"",""สบก!BC79"")"),0)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279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IFERROR(__xludf.DUMMYFUNCTION("IMPORTRANGE(""https://docs.google.com/spreadsheets/d/1SX6NBoVAgQJ6U1MVXOaj8PK2l7WJ3RER9xtqwdhxkhw/edit?usp=sharing"",""อ่างทอง!J58"")"),0)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IFERROR(__xludf.DUMMYFUNCTION("IMPORTRANGE(""https://docs.google.com/spreadsheets/d/1SX6NBoVAgQJ6U1MVXOaj8PK2l7WJ3RER9xtqwdhxkhw/edit?usp=sharing"",""อ่างทอง!J59"")"),0)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IFERROR(__xludf.DUMMYFUNCTION("IMPORTRANGE(""https://docs.google.com/spreadsheets/d/1SX6NBoVAgQJ6U1MVXOaj8PK2l7WJ3RER9xtqwdhxkhw/edit?usp=sharing"",""อ่างทอง!J60"")"),0)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IFERROR(__xludf.DUMMYFUNCTION("IMPORTRANGE(""https://docs.google.com/spreadsheets/d/1SX6NBoVAgQJ6U1MVXOaj8PK2l7WJ3RER9xtqwdhxkhw/edit?usp=sharing"",""อ่างทอง!J61"")"),0)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IFERROR(__xludf.DUMMYFUNCTION("IMPORTRANGE(""https://docs.google.com/spreadsheets/d/1SX6NBoVAgQJ6U1MVXOaj8PK2l7WJ3RER9xtqwdhxkhw/edit?usp=sharing"",""อ่างทอง!I62"")"),0)</f>
        <v>0</v>
      </c>
      <c r="J132" s="204">
        <f ca="1">IFERROR(__xludf.DUMMYFUNCTION("IMPORTRANGE(""https://docs.google.com/spreadsheets/d/1SX6NBoVAgQJ6U1MVXOaj8PK2l7WJ3RER9xtqwdhxkhw/edit?usp=sharing"",""อ่างทอง!J62"")"),0)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IFERROR(__xludf.DUMMYFUNCTION("IMPORTRANGE(""https://docs.google.com/spreadsheets/d/1SX6NBoVAgQJ6U1MVXOaj8PK2l7WJ3RER9xtqwdhxkhw/edit?usp=sharing"",""อ่างทอง!I63"")"),0)</f>
        <v>0</v>
      </c>
      <c r="J133" s="204">
        <f ca="1">IFERROR(__xludf.DUMMYFUNCTION("IMPORTRANGE(""https://docs.google.com/spreadsheets/d/1SX6NBoVAgQJ6U1MVXOaj8PK2l7WJ3RER9xtqwdhxkhw/edit?usp=sharing"",""อ่างทอง!J63"")"),0)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IFERROR(__xludf.DUMMYFUNCTION("IMPORTRANGE(""https://docs.google.com/spreadsheets/d/1SX6NBoVAgQJ6U1MVXOaj8PK2l7WJ3RER9xtqwdhxkhw/edit?usp=sharing"",""อ่างทอง!J64"")"),0)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IFERROR(__xludf.DUMMYFUNCTION("IMPORTRANGE(""https://docs.google.com/spreadsheets/d/1SX6NBoVAgQJ6U1MVXOaj8PK2l7WJ3RER9xtqwdhxkhw/edit?usp=sharing"",""อ่างทอง!J65"")"),0)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IFERROR(__xludf.DUMMYFUNCTION("IMPORTRANGE(""https://docs.google.com/spreadsheets/d/1SX6NBoVAgQJ6U1MVXOaj8PK2l7WJ3RER9xtqwdhxkhw/edit?usp=sharing"",""อ่างทอง!I68"")"),0)</f>
        <v>0</v>
      </c>
      <c r="J138" s="267">
        <f ca="1">IFERROR(__xludf.DUMMYFUNCTION("IMPORTRANGE(""https://docs.google.com/spreadsheets/d/1SX6NBoVAgQJ6U1MVXOaj8PK2l7WJ3RER9xtqwdhxkhw/edit?usp=sharing"",""อ่างทอง!J68"")"),0)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28400</v>
      </c>
      <c r="M140" s="152">
        <f t="shared" ca="1" si="64"/>
        <v>27625</v>
      </c>
      <c r="N140" s="152">
        <f t="shared" ca="1" si="64"/>
        <v>14000</v>
      </c>
      <c r="O140" s="151">
        <f t="shared" ref="O140:O142" ca="1" si="65">IF(L140&gt;0,N140*100/L140,0)</f>
        <v>49.29577464788732</v>
      </c>
      <c r="P140" s="151">
        <f t="shared" ref="P140:P142" ca="1" si="66">IF(M140&gt;0,N140*100/M140,0)</f>
        <v>50.678733031674206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28400</v>
      </c>
      <c r="M142" s="157">
        <f t="shared" ca="1" si="68"/>
        <v>27625</v>
      </c>
      <c r="N142" s="157">
        <f t="shared" ca="1" si="68"/>
        <v>14000</v>
      </c>
      <c r="O142" s="156">
        <f t="shared" ca="1" si="65"/>
        <v>49.29577464788732</v>
      </c>
      <c r="P142" s="156">
        <f t="shared" ca="1" si="66"/>
        <v>50.678733031674206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28400</v>
      </c>
      <c r="M144" s="168">
        <f ca="1">IFERROR(__xludf.DUMMYFUNCTION("IMPORTRANGE(""https://docs.google.com/spreadsheets/d/1Yj_ptqi66GCucihVvJfMjLAmec39IyEx_6qawtMGysU/edit?usp=sharing"",""สบก!BJ79"")"),27625)</f>
        <v>27625</v>
      </c>
      <c r="N144" s="169">
        <f ca="1">IFERROR(__xludf.DUMMYFUNCTION("IMPORTRANGE(""https://docs.google.com/spreadsheets/d/1Yj_ptqi66GCucihVvJfMjLAmec39IyEx_6qawtMGysU/edit?usp=sharing"",""สบก!BK79"")"),14000)</f>
        <v>14000</v>
      </c>
      <c r="O144" s="169">
        <f ca="1">IF(L144&gt;0,N144*100/L144,0)</f>
        <v>49.29577464788732</v>
      </c>
      <c r="P144" s="169">
        <f ca="1">IF(M144&gt;0,N144*100/M144,0)</f>
        <v>50.678733031674206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IFERROR(__xludf.DUMMYFUNCTION("IMPORTRANGE(""https://docs.google.com/spreadsheets/d/1Yj_ptqi66GCucihVvJfMjLAmec39IyEx_6qawtMGysU/edit?usp=sharing"",""สบก!BF79"")"),0)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IFERROR(__xludf.DUMMYFUNCTION("IMPORTRANGE(""https://docs.google.com/spreadsheets/d/1Yj_ptqi66GCucihVvJfMjLAmec39IyEx_6qawtMGysU/edit?usp=sharing"",""สบก!BG79"")"),28400)</f>
        <v>28400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IFERROR(__xludf.DUMMYFUNCTION("IMPORTRANGE(""https://docs.google.com/spreadsheets/d/1Yj_ptqi66GCucihVvJfMjLAmec39IyEx_6qawtMGysU/edit?usp=sharing"",""สบก!BH79"")"),0)</f>
        <v>0</v>
      </c>
      <c r="M148" s="49"/>
      <c r="N148" s="49">
        <f ca="1">IFERROR(__xludf.DUMMYFUNCTION("IMPORTRANGE(""https://docs.google.com/spreadsheets/d/1Yj_ptqi66GCucihVvJfMjLAmec39IyEx_6qawtMGysU/edit?usp=sharing"",""สบก!BL79"")"),0)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IFERROR(__xludf.DUMMYFUNCTION("IMPORTRANGE(""https://docs.google.com/spreadsheets/d/1SX6NBoVAgQJ6U1MVXOaj8PK2l7WJ3RER9xtqwdhxkhw/edit?usp=sharing"",""อ่างทอง!I74"")"),4)</f>
        <v>4</v>
      </c>
      <c r="J149" s="275">
        <f ca="1">IFERROR(__xludf.DUMMYFUNCTION("IMPORTRANGE(""https://docs.google.com/spreadsheets/d/1SX6NBoVAgQJ6U1MVXOaj8PK2l7WJ3RER9xtqwdhxkhw/edit?usp=sharing"",""อ่างทอง!J74"")"),2)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IFERROR(__xludf.DUMMYFUNCTION("IMPORTRANGE(""https://docs.google.com/spreadsheets/d/1SX6NBoVAgQJ6U1MVXOaj8PK2l7WJ3RER9xtqwdhxkhw/edit?usp=sharing"",""อ่างทอง!J79"")"),0)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IFERROR(__xludf.DUMMYFUNCTION("IMPORTRANGE(""https://docs.google.com/spreadsheets/d/1SX6NBoVAgQJ6U1MVXOaj8PK2l7WJ3RER9xtqwdhxkhw/edit?usp=sharing"",""อ่างทอง!J80"")"),1)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IFERROR(__xludf.DUMMYFUNCTION("IMPORTRANGE(""https://docs.google.com/spreadsheets/d/1SX6NBoVAgQJ6U1MVXOaj8PK2l7WJ3RER9xtqwdhxkhw/edit?usp=sharing"",""อ่างทอง!J81"")"),0)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IFERROR(__xludf.DUMMYFUNCTION("IMPORTRANGE(""https://docs.google.com/spreadsheets/d/1SX6NBoVAgQJ6U1MVXOaj8PK2l7WJ3RER9xtqwdhxkhw/edit?usp=sharing"",""อ่างทอง!J82"")"),1)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IFERROR(__xludf.DUMMYFUNCTION("IMPORTRANGE(""https://docs.google.com/spreadsheets/d/1SX6NBoVAgQJ6U1MVXOaj8PK2l7WJ3RER9xtqwdhxkhw/edit?usp=sharing"",""อ่างทอง!I83"")"),4)</f>
        <v>4</v>
      </c>
      <c r="J158" s="189">
        <f ca="1">IFERROR(__xludf.DUMMYFUNCTION("IMPORTRANGE(""https://docs.google.com/spreadsheets/d/1SX6NBoVAgQJ6U1MVXOaj8PK2l7WJ3RER9xtqwdhxkhw/edit?usp=sharing"",""อ่างทอง!J83"")"),2)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IFERROR(__xludf.DUMMYFUNCTION("IMPORTRANGE(""https://docs.google.com/spreadsheets/d/1SX6NBoVAgQJ6U1MVXOaj8PK2l7WJ3RER9xtqwdhxkhw/edit?usp=sharing"",""อ่างทอง!J84"")"),47)</f>
        <v>47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IFERROR(__xludf.DUMMYFUNCTION("IMPORTRANGE(""https://docs.google.com/spreadsheets/d/1SX6NBoVAgQJ6U1MVXOaj8PK2l7WJ3RER9xtqwdhxkhw/edit?usp=sharing"",""อ่างทอง!J85"")"),47)</f>
        <v>47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IFERROR(__xludf.DUMMYFUNCTION("IMPORTRANGE(""https://docs.google.com/spreadsheets/d/1SX6NBoVAgQJ6U1MVXOaj8PK2l7WJ3RER9xtqwdhxkhw/edit?usp=sharing"",""อ่างทอง!J86"")"),0)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IFERROR(__xludf.DUMMYFUNCTION("IMPORTRANGE(""https://docs.google.com/spreadsheets/d/1SX6NBoVAgQJ6U1MVXOaj8PK2l7WJ3RER9xtqwdhxkhw/edit?usp=sharing"",""อ่างทอง!J87"")"),0)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IFERROR(__xludf.DUMMYFUNCTION("IMPORTRANGE(""https://docs.google.com/spreadsheets/d/1SX6NBoVAgQJ6U1MVXOaj8PK2l7WJ3RER9xtqwdhxkhw/edit?usp=sharing"",""อ่างทอง!J88"")"),0)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IFERROR(__xludf.DUMMYFUNCTION("IMPORTRANGE(""https://docs.google.com/spreadsheets/d/1SX6NBoVAgQJ6U1MVXOaj8PK2l7WJ3RER9xtqwdhxkhw/edit?usp=sharing"",""อ่างทอง!I89"")"),1)</f>
        <v>1</v>
      </c>
      <c r="J164" s="284">
        <f ca="1">IFERROR(__xludf.DUMMYFUNCTION("IMPORTRANGE(""https://docs.google.com/spreadsheets/d/1SX6NBoVAgQJ6U1MVXOaj8PK2l7WJ3RER9xtqwdhxkhw/edit?usp=sharing"",""อ่างทอง!J89"")"),1)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IFERROR(__xludf.DUMMYFUNCTION("IMPORTRANGE(""https://docs.google.com/spreadsheets/d/1SX6NBoVAgQJ6U1MVXOaj8PK2l7WJ3RER9xtqwdhxkhw/edit?usp=sharing"",""อ่างทอง!J94"")"),0)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IFERROR(__xludf.DUMMYFUNCTION("IMPORTRANGE(""https://docs.google.com/spreadsheets/d/1SX6NBoVAgQJ6U1MVXOaj8PK2l7WJ3RER9xtqwdhxkhw/edit?usp=sharing"",""อ่างทอง!J95"")"),1)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IFERROR(__xludf.DUMMYFUNCTION("IMPORTRANGE(""https://docs.google.com/spreadsheets/d/1SX6NBoVAgQJ6U1MVXOaj8PK2l7WJ3RER9xtqwdhxkhw/edit?usp=sharing"",""อ่างทอง!J96"")"),1)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IFERROR(__xludf.DUMMYFUNCTION("IMPORTRANGE(""https://docs.google.com/spreadsheets/d/1SX6NBoVAgQJ6U1MVXOaj8PK2l7WJ3RER9xtqwdhxkhw/edit?usp=sharing"",""อ่างทอง!J97"")"),1)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IFERROR(__xludf.DUMMYFUNCTION("IMPORTRANGE(""https://docs.google.com/spreadsheets/d/1SX6NBoVAgQJ6U1MVXOaj8PK2l7WJ3RER9xtqwdhxkhw/edit?usp=sharing"",""อ่างทอง!I98"")"),1)</f>
        <v>1</v>
      </c>
      <c r="J173" s="189">
        <f ca="1">IFERROR(__xludf.DUMMYFUNCTION("IMPORTRANGE(""https://docs.google.com/spreadsheets/d/1SX6NBoVAgQJ6U1MVXOaj8PK2l7WJ3RER9xtqwdhxkhw/edit?usp=sharing"",""อ่างทอง!J98"")"),1)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IFERROR(__xludf.DUMMYFUNCTION("IMPORTRANGE(""https://docs.google.com/spreadsheets/d/1SX6NBoVAgQJ6U1MVXOaj8PK2l7WJ3RER9xtqwdhxkhw/edit?usp=sharing"",""อ่างทอง!J99"")"),0)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IFERROR(__xludf.DUMMYFUNCTION("IMPORTRANGE(""https://docs.google.com/spreadsheets/d/1SX6NBoVAgQJ6U1MVXOaj8PK2l7WJ3RER9xtqwdhxkhw/edit?usp=sharing"",""อ่างทอง!J100"")"),0)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IFERROR(__xludf.DUMMYFUNCTION("IMPORTRANGE(""https://docs.google.com/spreadsheets/d/1SX6NBoVAgQJ6U1MVXOaj8PK2l7WJ3RER9xtqwdhxkhw/edit?usp=sharing"",""อ่างทอง!I101"")"),0)</f>
        <v>0</v>
      </c>
      <c r="J176" s="284">
        <f ca="1">IFERROR(__xludf.DUMMYFUNCTION("IMPORTRANGE(""https://docs.google.com/spreadsheets/d/1SX6NBoVAgQJ6U1MVXOaj8PK2l7WJ3RER9xtqwdhxkhw/edit?usp=sharing"",""อ่างทอง!J101"")"),0)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IFERROR(__xludf.DUMMYFUNCTION("IMPORTRANGE(""https://docs.google.com/spreadsheets/d/1SX6NBoVAgQJ6U1MVXOaj8PK2l7WJ3RER9xtqwdhxkhw/edit?usp=sharing"",""อ่างทอง!J106"")"),0)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IFERROR(__xludf.DUMMYFUNCTION("IMPORTRANGE(""https://docs.google.com/spreadsheets/d/1SX6NBoVAgQJ6U1MVXOaj8PK2l7WJ3RER9xtqwdhxkhw/edit?usp=sharing"",""อ่างทอง!J107"")"),0)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IFERROR(__xludf.DUMMYFUNCTION("IMPORTRANGE(""https://docs.google.com/spreadsheets/d/1SX6NBoVAgQJ6U1MVXOaj8PK2l7WJ3RER9xtqwdhxkhw/edit?usp=sharing"",""อ่างทอง!J108"")"),0)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IFERROR(__xludf.DUMMYFUNCTION("IMPORTRANGE(""https://docs.google.com/spreadsheets/d/1SX6NBoVAgQJ6U1MVXOaj8PK2l7WJ3RER9xtqwdhxkhw/edit?usp=sharing"",""อ่างทอง!J109"")"),0)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IFERROR(__xludf.DUMMYFUNCTION("IMPORTRANGE(""https://docs.google.com/spreadsheets/d/1SX6NBoVAgQJ6U1MVXOaj8PK2l7WJ3RER9xtqwdhxkhw/edit?usp=sharing"",""อ่างทอง!I110"")"),0)</f>
        <v>0</v>
      </c>
      <c r="J185" s="204">
        <f ca="1">IFERROR(__xludf.DUMMYFUNCTION("IMPORTRANGE(""https://docs.google.com/spreadsheets/d/1SX6NBoVAgQJ6U1MVXOaj8PK2l7WJ3RER9xtqwdhxkhw/edit?usp=sharing"",""อ่างทอง!J110"")"),0)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IFERROR(__xludf.DUMMYFUNCTION("IMPORTRANGE(""https://docs.google.com/spreadsheets/d/1SX6NBoVAgQJ6U1MVXOaj8PK2l7WJ3RER9xtqwdhxkhw/edit?usp=sharing"",""อ่างทอง!I111"")"),0)</f>
        <v>0</v>
      </c>
      <c r="J186" s="204">
        <f ca="1">IFERROR(__xludf.DUMMYFUNCTION("IMPORTRANGE(""https://docs.google.com/spreadsheets/d/1SX6NBoVAgQJ6U1MVXOaj8PK2l7WJ3RER9xtqwdhxkhw/edit?usp=sharing"",""อ่างทอง!J111"")"),0)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IFERROR(__xludf.DUMMYFUNCTION("IMPORTRANGE(""https://docs.google.com/spreadsheets/d/1SX6NBoVAgQJ6U1MVXOaj8PK2l7WJ3RER9xtqwdhxkhw/edit?usp=sharing"",""อ่างทอง!J112"")"),0)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IFERROR(__xludf.DUMMYFUNCTION("IMPORTRANGE(""https://docs.google.com/spreadsheets/d/1SX6NBoVAgQJ6U1MVXOaj8PK2l7WJ3RER9xtqwdhxkhw/edit?usp=sharing"",""อ่างทอง!J113"")"),0)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IFERROR(__xludf.DUMMYFUNCTION("IMPORTRANGE(""https://docs.google.com/spreadsheets/d/1SX6NBoVAgQJ6U1MVXOaj8PK2l7WJ3RER9xtqwdhxkhw/edit?usp=sharing"",""อ่างทอง!I114"")"),5000)</f>
        <v>5000</v>
      </c>
      <c r="J189" s="284">
        <f ca="1">IFERROR(__xludf.DUMMYFUNCTION("IMPORTRANGE(""https://docs.google.com/spreadsheets/d/1SX6NBoVAgQJ6U1MVXOaj8PK2l7WJ3RER9xtqwdhxkhw/edit?usp=sharing"",""อ่างทอง!J114"")"),0)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IFERROR(__xludf.DUMMYFUNCTION("IMPORTRANGE(""https://docs.google.com/spreadsheets/d/1SX6NBoVAgQJ6U1MVXOaj8PK2l7WJ3RER9xtqwdhxkhw/edit?usp=sharing"",""อ่างทอง!J119"")"),0)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IFERROR(__xludf.DUMMYFUNCTION("IMPORTRANGE(""https://docs.google.com/spreadsheets/d/1SX6NBoVAgQJ6U1MVXOaj8PK2l7WJ3RER9xtqwdhxkhw/edit?usp=sharing"",""อ่างทอง!J120"")"),1)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IFERROR(__xludf.DUMMYFUNCTION("IMPORTRANGE(""https://docs.google.com/spreadsheets/d/1SX6NBoVAgQJ6U1MVXOaj8PK2l7WJ3RER9xtqwdhxkhw/edit?usp=sharing"",""อ่างทอง!J121"")"),1)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IFERROR(__xludf.DUMMYFUNCTION("IMPORTRANGE(""https://docs.google.com/spreadsheets/d/1SX6NBoVAgQJ6U1MVXOaj8PK2l7WJ3RER9xtqwdhxkhw/edit?usp=sharing"",""อ่างทอง!J122"")"),1)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IFERROR(__xludf.DUMMYFUNCTION("IMPORTRANGE(""https://docs.google.com/spreadsheets/d/1SX6NBoVAgQJ6U1MVXOaj8PK2l7WJ3RER9xtqwdhxkhw/edit?usp=sharing"",""อ่างทอง!I124"")"),5000)</f>
        <v>5000</v>
      </c>
      <c r="J199" s="189">
        <f ca="1">IFERROR(__xludf.DUMMYFUNCTION("IMPORTRANGE(""https://docs.google.com/spreadsheets/d/1SX6NBoVAgQJ6U1MVXOaj8PK2l7WJ3RER9xtqwdhxkhw/edit?usp=sharing"",""อ่างทอง!J124"")"),0)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IFERROR(__xludf.DUMMYFUNCTION("IMPORTRANGE(""https://docs.google.com/spreadsheets/d/1SX6NBoVAgQJ6U1MVXOaj8PK2l7WJ3RER9xtqwdhxkhw/edit?usp=sharing"",""อ่างทอง!I125"")"),5000)</f>
        <v>5000</v>
      </c>
      <c r="J200" s="189">
        <f ca="1">IFERROR(__xludf.DUMMYFUNCTION("IMPORTRANGE(""https://docs.google.com/spreadsheets/d/1SX6NBoVAgQJ6U1MVXOaj8PK2l7WJ3RER9xtqwdhxkhw/edit?usp=sharing"",""อ่างทอง!J125"")"),0)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IFERROR(__xludf.DUMMYFUNCTION("IMPORTRANGE(""https://docs.google.com/spreadsheets/d/1SX6NBoVAgQJ6U1MVXOaj8PK2l7WJ3RER9xtqwdhxkhw/edit?usp=sharing"",""อ่างทอง!I126"")"),0)</f>
        <v>0</v>
      </c>
      <c r="J201" s="189">
        <f ca="1">IFERROR(__xludf.DUMMYFUNCTION("IMPORTRANGE(""https://docs.google.com/spreadsheets/d/1SX6NBoVAgQJ6U1MVXOaj8PK2l7WJ3RER9xtqwdhxkhw/edit?usp=sharing"",""อ่างทอง!J126"")"),0)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IFERROR(__xludf.DUMMYFUNCTION("IMPORTRANGE(""https://docs.google.com/spreadsheets/d/1SX6NBoVAgQJ6U1MVXOaj8PK2l7WJ3RER9xtqwdhxkhw/edit?usp=sharing"",""อ่างทอง!J127"")"),0)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IFERROR(__xludf.DUMMYFUNCTION("IMPORTRANGE(""https://docs.google.com/spreadsheets/d/1SX6NBoVAgQJ6U1MVXOaj8PK2l7WJ3RER9xtqwdhxkhw/edit?usp=sharing"",""อ่างทอง!J128"")"),0)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IFERROR(__xludf.DUMMYFUNCTION("IMPORTRANGE(""https://docs.google.com/spreadsheets/d/1SX6NBoVAgQJ6U1MVXOaj8PK2l7WJ3RER9xtqwdhxkhw/edit?usp=sharing"",""อ่างทอง!I129"")"),0)</f>
        <v>0</v>
      </c>
      <c r="J204" s="284">
        <f ca="1">IFERROR(__xludf.DUMMYFUNCTION("IMPORTRANGE(""https://docs.google.com/spreadsheets/d/1SX6NBoVAgQJ6U1MVXOaj8PK2l7WJ3RER9xtqwdhxkhw/edit?usp=sharing"",""อ่างทอง!J129"")"),0)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IFERROR(__xludf.DUMMYFUNCTION("IMPORTRANGE(""https://docs.google.com/spreadsheets/d/1SX6NBoVAgQJ6U1MVXOaj8PK2l7WJ3RER9xtqwdhxkhw/edit?usp=sharing"",""อ่างทอง!J134"")"),0)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IFERROR(__xludf.DUMMYFUNCTION("IMPORTRANGE(""https://docs.google.com/spreadsheets/d/1SX6NBoVAgQJ6U1MVXOaj8PK2l7WJ3RER9xtqwdhxkhw/edit?usp=sharing"",""อ่างทอง!J135"")"),0)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IFERROR(__xludf.DUMMYFUNCTION("IMPORTRANGE(""https://docs.google.com/spreadsheets/d/1SX6NBoVAgQJ6U1MVXOaj8PK2l7WJ3RER9xtqwdhxkhw/edit?usp=sharing"",""อ่างทอง!J136"")"),0)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IFERROR(__xludf.DUMMYFUNCTION("IMPORTRANGE(""https://docs.google.com/spreadsheets/d/1SX6NBoVAgQJ6U1MVXOaj8PK2l7WJ3RER9xtqwdhxkhw/edit?usp=sharing"",""อ่างทอง!J137"")"),0)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IFERROR(__xludf.DUMMYFUNCTION("IMPORTRANGE(""https://docs.google.com/spreadsheets/d/1SX6NBoVAgQJ6U1MVXOaj8PK2l7WJ3RER9xtqwdhxkhw/edit?usp=sharing"",""อ่างทอง!I138"")"),0)</f>
        <v>0</v>
      </c>
      <c r="J213" s="204">
        <f ca="1">IFERROR(__xludf.DUMMYFUNCTION("IMPORTRANGE(""https://docs.google.com/spreadsheets/d/1SX6NBoVAgQJ6U1MVXOaj8PK2l7WJ3RER9xtqwdhxkhw/edit?usp=sharing"",""อ่างทอง!J138"")"),0)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IFERROR(__xludf.DUMMYFUNCTION("IMPORTRANGE(""https://docs.google.com/spreadsheets/d/1SX6NBoVAgQJ6U1MVXOaj8PK2l7WJ3RER9xtqwdhxkhw/edit?usp=sharing"",""อ่างทอง!I140"")"),0)</f>
        <v>0</v>
      </c>
      <c r="J215" s="204">
        <f ca="1">IFERROR(__xludf.DUMMYFUNCTION("IMPORTRANGE(""https://docs.google.com/spreadsheets/d/1SX6NBoVAgQJ6U1MVXOaj8PK2l7WJ3RER9xtqwdhxkhw/edit?usp=sharing"",""อ่างทอง!J140"")"),0)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IFERROR(__xludf.DUMMYFUNCTION("IMPORTRANGE(""https://docs.google.com/spreadsheets/d/1SX6NBoVAgQJ6U1MVXOaj8PK2l7WJ3RER9xtqwdhxkhw/edit?usp=sharing"",""อ่างทอง!I141"")"),0)</f>
        <v>0</v>
      </c>
      <c r="J216" s="204">
        <f ca="1">IFERROR(__xludf.DUMMYFUNCTION("IMPORTRANGE(""https://docs.google.com/spreadsheets/d/1SX6NBoVAgQJ6U1MVXOaj8PK2l7WJ3RER9xtqwdhxkhw/edit?usp=sharing"",""อ่างทอง!J141"")"),0)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IFERROR(__xludf.DUMMYFUNCTION("IMPORTRANGE(""https://docs.google.com/spreadsheets/d/1SX6NBoVAgQJ6U1MVXOaj8PK2l7WJ3RER9xtqwdhxkhw/edit?usp=sharing"",""อ่างทอง!J142"")"),0)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IFERROR(__xludf.DUMMYFUNCTION("IMPORTRANGE(""https://docs.google.com/spreadsheets/d/1SX6NBoVAgQJ6U1MVXOaj8PK2l7WJ3RER9xtqwdhxkhw/edit?usp=sharing"",""อ่างทอง!J143"")"),0)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IFERROR(__xludf.DUMMYFUNCTION("IMPORTRANGE(""https://docs.google.com/spreadsheets/d/1SX6NBoVAgQJ6U1MVXOaj8PK2l7WJ3RER9xtqwdhxkhw/edit?usp=sharing"",""อ่างทอง!I144"")"),0)</f>
        <v>0</v>
      </c>
      <c r="J219" s="267">
        <f ca="1">IFERROR(__xludf.DUMMYFUNCTION("IMPORTRANGE(""https://docs.google.com/spreadsheets/d/1SX6NBoVAgQJ6U1MVXOaj8PK2l7WJ3RER9xtqwdhxkhw/edit?usp=sharing"",""อ่างทอง!J144"")"),0)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IFERROR(__xludf.DUMMYFUNCTION("IMPORTRANGE(""https://docs.google.com/spreadsheets/d/1Yj_ptqi66GCucihVvJfMjLAmec39IyEx_6qawtMGysU/edit?usp=sharing"",""สบก!BS79"")"),0)</f>
        <v>0</v>
      </c>
      <c r="N224" s="169">
        <f ca="1">IFERROR(__xludf.DUMMYFUNCTION("IMPORTRANGE(""https://docs.google.com/spreadsheets/d/1Yj_ptqi66GCucihVvJfMjLAmec39IyEx_6qawtMGysU/edit?usp=sharing"",""สบก!BT79"")"),0)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IFERROR(__xludf.DUMMYFUNCTION("IMPORTRANGE(""https://docs.google.com/spreadsheets/d/1Yj_ptqi66GCucihVvJfMjLAmec39IyEx_6qawtMGysU/edit?usp=sharing"",""สบก!BO79"")"),0)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IFERROR(__xludf.DUMMYFUNCTION("IMPORTRANGE(""https://docs.google.com/spreadsheets/d/1Yj_ptqi66GCucihVvJfMjLAmec39IyEx_6qawtMGysU/edit?usp=sharing"",""สบก!BP79"")"),0)</f>
        <v>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IFERROR(__xludf.DUMMYFUNCTION("IMPORTRANGE(""https://docs.google.com/spreadsheets/d/1Yj_ptqi66GCucihVvJfMjLAmec39IyEx_6qawtMGysU/edit?usp=sharing"",""สบก!BQ79"")"),0)</f>
        <v>0</v>
      </c>
      <c r="M228" s="49"/>
      <c r="N228" s="49">
        <f ca="1">IFERROR(__xludf.DUMMYFUNCTION("IMPORTRANGE(""https://docs.google.com/spreadsheets/d/1Yj_ptqi66GCucihVvJfMjLAmec39IyEx_6qawtMGysU/edit?usp=sharing"",""สบก!BU79"")"),0)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IFERROR(__xludf.DUMMYFUNCTION("IMPORTRANGE(""https://docs.google.com/spreadsheets/d/1SX6NBoVAgQJ6U1MVXOaj8PK2l7WJ3RER9xtqwdhxkhw/edit?usp=sharing"",""อ่างทอง!I149"")"),0)</f>
        <v>0</v>
      </c>
      <c r="J229" s="267">
        <f ca="1">IFERROR(__xludf.DUMMYFUNCTION("IMPORTRANGE(""https://docs.google.com/spreadsheets/d/1SX6NBoVAgQJ6U1MVXOaj8PK2l7WJ3RER9xtqwdhxkhw/edit?usp=sharing"",""อ่างทอง!J149"")"),0)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IFERROR(__xludf.DUMMYFUNCTION("IMPORTRANGE(""https://docs.google.com/spreadsheets/d/1SX6NBoVAgQJ6U1MVXOaj8PK2l7WJ3RER9xtqwdhxkhw/edit?usp=sharing"",""อ่างทอง!J151"")"),0)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IFERROR(__xludf.DUMMYFUNCTION("IMPORTRANGE(""https://docs.google.com/spreadsheets/d/1SX6NBoVAgQJ6U1MVXOaj8PK2l7WJ3RER9xtqwdhxkhw/edit?usp=sharing"",""อ่างทอง!J152"")"),0)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IFERROR(__xludf.DUMMYFUNCTION("IMPORTRANGE(""https://docs.google.com/spreadsheets/d/1SX6NBoVAgQJ6U1MVXOaj8PK2l7WJ3RER9xtqwdhxkhw/edit?usp=sharing"",""อ่างทอง!J153"")"),0)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IFERROR(__xludf.DUMMYFUNCTION("IMPORTRANGE(""https://docs.google.com/spreadsheets/d/1SX6NBoVAgQJ6U1MVXOaj8PK2l7WJ3RER9xtqwdhxkhw/edit?usp=sharing"",""อ่างทอง!J154"")"),0)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IFERROR(__xludf.DUMMYFUNCTION("IMPORTRANGE(""https://docs.google.com/spreadsheets/d/1SX6NBoVAgQJ6U1MVXOaj8PK2l7WJ3RER9xtqwdhxkhw/edit?usp=sharing"",""อ่างทอง!I155"")"),0)</f>
        <v>0</v>
      </c>
      <c r="J235" s="189">
        <f ca="1">IFERROR(__xludf.DUMMYFUNCTION("IMPORTRANGE(""https://docs.google.com/spreadsheets/d/1SX6NBoVAgQJ6U1MVXOaj8PK2l7WJ3RER9xtqwdhxkhw/edit?usp=sharing"",""อ่างทอง!J155"")"),0)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IFERROR(__xludf.DUMMYFUNCTION("IMPORTRANGE(""https://docs.google.com/spreadsheets/d/1SX6NBoVAgQJ6U1MVXOaj8PK2l7WJ3RER9xtqwdhxkhw/edit?usp=sharing"",""อ่างทอง!J156"")"),0)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IFERROR(__xludf.DUMMYFUNCTION("IMPORTRANGE(""https://docs.google.com/spreadsheets/d/1SX6NBoVAgQJ6U1MVXOaj8PK2l7WJ3RER9xtqwdhxkhw/edit?usp=sharing"",""อ่างทอง!J157"")"),0)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IFERROR(__xludf.DUMMYFUNCTION("IMPORTRANGE(""https://docs.google.com/spreadsheets/d/1SX6NBoVAgQJ6U1MVXOaj8PK2l7WJ3RER9xtqwdhxkhw/edit?usp=sharing"",""อ่างทอง!I158"")"),0)</f>
        <v>0</v>
      </c>
      <c r="J238" s="267">
        <f ca="1">IFERROR(__xludf.DUMMYFUNCTION("IMPORTRANGE(""https://docs.google.com/spreadsheets/d/1SX6NBoVAgQJ6U1MVXOaj8PK2l7WJ3RER9xtqwdhxkhw/edit?usp=sharing"",""อ่างทอง!J158"")"),0)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IFERROR(__xludf.DUMMYFUNCTION("IMPORTRANGE(""https://docs.google.com/spreadsheets/d/1SX6NBoVAgQJ6U1MVXOaj8PK2l7WJ3RER9xtqwdhxkhw/edit?usp=sharing"",""อ่างทอง!J159"")"),"")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IFERROR(__xludf.DUMMYFUNCTION("IMPORTRANGE(""https://docs.google.com/spreadsheets/d/1SX6NBoVAgQJ6U1MVXOaj8PK2l7WJ3RER9xtqwdhxkhw/edit?usp=sharing"",""อ่างทอง!J161"")"),0)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IFERROR(__xludf.DUMMYFUNCTION("IMPORTRANGE(""https://docs.google.com/spreadsheets/d/1SX6NBoVAgQJ6U1MVXOaj8PK2l7WJ3RER9xtqwdhxkhw/edit?usp=sharing"",""อ่างทอง!J162"")"),0)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IFERROR(__xludf.DUMMYFUNCTION("IMPORTRANGE(""https://docs.google.com/spreadsheets/d/1SX6NBoVAgQJ6U1MVXOaj8PK2l7WJ3RER9xtqwdhxkhw/edit?usp=sharing"",""อ่างทอง!J163"")"),0)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IFERROR(__xludf.DUMMYFUNCTION("IMPORTRANGE(""https://docs.google.com/spreadsheets/d/1SX6NBoVAgQJ6U1MVXOaj8PK2l7WJ3RER9xtqwdhxkhw/edit?usp=sharing"",""อ่างทอง!I164"")"),0)</f>
        <v>0</v>
      </c>
      <c r="J244" s="188">
        <f ca="1">IFERROR(__xludf.DUMMYFUNCTION("IMPORTRANGE(""https://docs.google.com/spreadsheets/d/1SX6NBoVAgQJ6U1MVXOaj8PK2l7WJ3RER9xtqwdhxkhw/edit?usp=sharing"",""อ่างทอง!J164"")"),0)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IFERROR(__xludf.DUMMYFUNCTION("IMPORTRANGE(""https://docs.google.com/spreadsheets/d/1SX6NBoVAgQJ6U1MVXOaj8PK2l7WJ3RER9xtqwdhxkhw/edit?usp=sharing"",""อ่างทอง!J165"")"),0)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IFERROR(__xludf.DUMMYFUNCTION("IMPORTRANGE(""https://docs.google.com/spreadsheets/d/1SX6NBoVAgQJ6U1MVXOaj8PK2l7WJ3RER9xtqwdhxkhw/edit?usp=sharing"",""อ่างทอง!J166"")"),0)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IFERROR(__xludf.DUMMYFUNCTION("IMPORTRANGE(""https://docs.google.com/spreadsheets/d/1SX6NBoVAgQJ6U1MVXOaj8PK2l7WJ3RER9xtqwdhxkhw/edit?usp=sharing"",""อ่างทอง!I169"")"),0)</f>
        <v>0</v>
      </c>
      <c r="J249" s="316">
        <f ca="1">IFERROR(__xludf.DUMMYFUNCTION("IMPORTRANGE(""https://docs.google.com/spreadsheets/d/1SX6NBoVAgQJ6U1MVXOaj8PK2l7WJ3RER9xtqwdhxkhw/edit?usp=sharing"",""อ่างทอง!J169"")"),0)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IFERROR(__xludf.DUMMYFUNCTION("IMPORTRANGE(""https://docs.google.com/spreadsheets/d/1Yj_ptqi66GCucihVvJfMjLAmec39IyEx_6qawtMGysU/edit?usp=sharing"",""สบก!CB79"")"),0)</f>
        <v>0</v>
      </c>
      <c r="N254" s="169">
        <f ca="1">IFERROR(__xludf.DUMMYFUNCTION("IMPORTRANGE(""https://docs.google.com/spreadsheets/d/1Yj_ptqi66GCucihVvJfMjLAmec39IyEx_6qawtMGysU/edit?usp=sharing"",""สบก!CC79"")"),0)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IFERROR(__xludf.DUMMYFUNCTION("IMPORTRANGE(""https://docs.google.com/spreadsheets/d/1Yj_ptqi66GCucihVvJfMjLAmec39IyEx_6qawtMGysU/edit?usp=sharing"",""สบก!BX79"")"),0)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IFERROR(__xludf.DUMMYFUNCTION("IMPORTRANGE(""https://docs.google.com/spreadsheets/d/1Yj_ptqi66GCucihVvJfMjLAmec39IyEx_6qawtMGysU/edit?usp=sharing"",""สบก!BY79"")"),0)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IFERROR(__xludf.DUMMYFUNCTION("IMPORTRANGE(""https://docs.google.com/spreadsheets/d/1Yj_ptqi66GCucihVvJfMjLAmec39IyEx_6qawtMGysU/edit?usp=sharing"",""สบก!BZ79"")"),0)</f>
        <v>0</v>
      </c>
      <c r="M258" s="49"/>
      <c r="N258" s="49">
        <f ca="1">IFERROR(__xludf.DUMMYFUNCTION("IMPORTRANGE(""https://docs.google.com/spreadsheets/d/1Yj_ptqi66GCucihVvJfMjLAmec39IyEx_6qawtMGysU/edit?usp=sharing"",""สบก!CD79"")"),0)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IFERROR(__xludf.DUMMYFUNCTION("IMPORTRANGE(""https://docs.google.com/spreadsheets/d/1SX6NBoVAgQJ6U1MVXOaj8PK2l7WJ3RER9xtqwdhxkhw/edit?usp=sharing"",""อ่างทอง!J175"")"),0)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IFERROR(__xludf.DUMMYFUNCTION("IMPORTRANGE(""https://docs.google.com/spreadsheets/d/1SX6NBoVAgQJ6U1MVXOaj8PK2l7WJ3RER9xtqwdhxkhw/edit?usp=sharing"",""อ่างทอง!J176"")"),0)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IFERROR(__xludf.DUMMYFUNCTION("IMPORTRANGE(""https://docs.google.com/spreadsheets/d/1SX6NBoVAgQJ6U1MVXOaj8PK2l7WJ3RER9xtqwdhxkhw/edit?usp=sharing"",""อ่างทอง!J177"")"),0)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IFERROR(__xludf.DUMMYFUNCTION("IMPORTRANGE(""https://docs.google.com/spreadsheets/d/1SX6NBoVAgQJ6U1MVXOaj8PK2l7WJ3RER9xtqwdhxkhw/edit?usp=sharing"",""อ่างทอง!J178"")"),0)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IFERROR(__xludf.DUMMYFUNCTION("IMPORTRANGE(""https://docs.google.com/spreadsheets/d/1SX6NBoVAgQJ6U1MVXOaj8PK2l7WJ3RER9xtqwdhxkhw/edit?usp=sharing"",""อ่างทอง!I179"")"),0)</f>
        <v>0</v>
      </c>
      <c r="J264" s="189">
        <f ca="1">IFERROR(__xludf.DUMMYFUNCTION("IMPORTRANGE(""https://docs.google.com/spreadsheets/d/1SX6NBoVAgQJ6U1MVXOaj8PK2l7WJ3RER9xtqwdhxkhw/edit?usp=sharing"",""อ่างทอง!J179"")"),0)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IFERROR(__xludf.DUMMYFUNCTION("IMPORTRANGE(""https://docs.google.com/spreadsheets/d/1SX6NBoVAgQJ6U1MVXOaj8PK2l7WJ3RER9xtqwdhxkhw/edit?usp=sharing"",""อ่างทอง!I180"")"),0)</f>
        <v>0</v>
      </c>
      <c r="J265" s="189">
        <f ca="1">IFERROR(__xludf.DUMMYFUNCTION("IMPORTRANGE(""https://docs.google.com/spreadsheets/d/1SX6NBoVAgQJ6U1MVXOaj8PK2l7WJ3RER9xtqwdhxkhw/edit?usp=sharing"",""อ่างทอง!J180"")"),0)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IFERROR(__xludf.DUMMYFUNCTION("IMPORTRANGE(""https://docs.google.com/spreadsheets/d/1SX6NBoVAgQJ6U1MVXOaj8PK2l7WJ3RER9xtqwdhxkhw/edit?usp=sharing"",""อ่างทอง!I181"")"),0)</f>
        <v>0</v>
      </c>
      <c r="J266" s="189">
        <f ca="1">IFERROR(__xludf.DUMMYFUNCTION("IMPORTRANGE(""https://docs.google.com/spreadsheets/d/1SX6NBoVAgQJ6U1MVXOaj8PK2l7WJ3RER9xtqwdhxkhw/edit?usp=sharing"",""อ่างทอง!J181"")"),0)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IFERROR(__xludf.DUMMYFUNCTION("IMPORTRANGE(""https://docs.google.com/spreadsheets/d/1SX6NBoVAgQJ6U1MVXOaj8PK2l7WJ3RER9xtqwdhxkhw/edit?usp=sharing"",""อ่างทอง!I182"")"),0)</f>
        <v>0</v>
      </c>
      <c r="J267" s="189">
        <f ca="1">IFERROR(__xludf.DUMMYFUNCTION("IMPORTRANGE(""https://docs.google.com/spreadsheets/d/1SX6NBoVAgQJ6U1MVXOaj8PK2l7WJ3RER9xtqwdhxkhw/edit?usp=sharing"",""อ่างทอง!J182"")"),0)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IFERROR(__xludf.DUMMYFUNCTION("IMPORTRANGE(""https://docs.google.com/spreadsheets/d/1SX6NBoVAgQJ6U1MVXOaj8PK2l7WJ3RER9xtqwdhxkhw/edit?usp=sharing"",""อ่างทอง!J183"")"),0)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IFERROR(__xludf.DUMMYFUNCTION("IMPORTRANGE(""https://docs.google.com/spreadsheets/d/1SX6NBoVAgQJ6U1MVXOaj8PK2l7WJ3RER9xtqwdhxkhw/edit?usp=sharing"",""อ่างทอง!J184"")"),0)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IFERROR(__xludf.DUMMYFUNCTION("IMPORTRANGE(""https://docs.google.com/spreadsheets/d/1SX6NBoVAgQJ6U1MVXOaj8PK2l7WJ3RER9xtqwdhxkhw/edit?usp=sharing"",""อ่างทอง!I185"")"),0)</f>
        <v>0</v>
      </c>
      <c r="J270" s="316">
        <f ca="1">IFERROR(__xludf.DUMMYFUNCTION("IMPORTRANGE(""https://docs.google.com/spreadsheets/d/1SX6NBoVAgQJ6U1MVXOaj8PK2l7WJ3RER9xtqwdhxkhw/edit?usp=sharing"",""อ่างทอง!J185"")"),0)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IFERROR(__xludf.DUMMYFUNCTION("IMPORTRANGE(""https://docs.google.com/spreadsheets/d/1Yj_ptqi66GCucihVvJfMjLAmec39IyEx_6qawtMGysU/edit?usp=sharing"",""สบก!CK79"")"),0)</f>
        <v>0</v>
      </c>
      <c r="N275" s="169">
        <f ca="1">IFERROR(__xludf.DUMMYFUNCTION("IMPORTRANGE(""https://docs.google.com/spreadsheets/d/1Yj_ptqi66GCucihVvJfMjLAmec39IyEx_6qawtMGysU/edit?usp=sharing"",""สบก!CL79"")"),0)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IFERROR(__xludf.DUMMYFUNCTION("IMPORTRANGE(""https://docs.google.com/spreadsheets/d/1Yj_ptqi66GCucihVvJfMjLAmec39IyEx_6qawtMGysU/edit?usp=sharing"",""สบก!CG79"")"),0)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IFERROR(__xludf.DUMMYFUNCTION("IMPORTRANGE(""https://docs.google.com/spreadsheets/d/1Yj_ptqi66GCucihVvJfMjLAmec39IyEx_6qawtMGysU/edit?usp=sharing"",""สบก!CH79"")"),0)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IFERROR(__xludf.DUMMYFUNCTION("IMPORTRANGE(""https://docs.google.com/spreadsheets/d/1Yj_ptqi66GCucihVvJfMjLAmec39IyEx_6qawtMGysU/edit?usp=sharing"",""สบก!CI79"")"),0)</f>
        <v>0</v>
      </c>
      <c r="M279" s="49"/>
      <c r="N279" s="49">
        <f ca="1">IFERROR(__xludf.DUMMYFUNCTION("IMPORTRANGE(""https://docs.google.com/spreadsheets/d/1Yj_ptqi66GCucihVvJfMjLAmec39IyEx_6qawtMGysU/edit?usp=sharing"",""สบก!CM79"")"),0)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IFERROR(__xludf.DUMMYFUNCTION("IMPORTRANGE(""https://docs.google.com/spreadsheets/d/1SX6NBoVAgQJ6U1MVXOaj8PK2l7WJ3RER9xtqwdhxkhw/edit?usp=sharing"",""อ่างทอง!J191"")"),0)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IFERROR(__xludf.DUMMYFUNCTION("IMPORTRANGE(""https://docs.google.com/spreadsheets/d/1SX6NBoVAgQJ6U1MVXOaj8PK2l7WJ3RER9xtqwdhxkhw/edit?usp=sharing"",""อ่างทอง!J192"")"),0)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IFERROR(__xludf.DUMMYFUNCTION("IMPORTRANGE(""https://docs.google.com/spreadsheets/d/1SX6NBoVAgQJ6U1MVXOaj8PK2l7WJ3RER9xtqwdhxkhw/edit?usp=sharing"",""อ่างทอง!J193"")"),0)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IFERROR(__xludf.DUMMYFUNCTION("IMPORTRANGE(""https://docs.google.com/spreadsheets/d/1SX6NBoVAgQJ6U1MVXOaj8PK2l7WJ3RER9xtqwdhxkhw/edit?usp=sharing"",""อ่างทอง!J194"")"),0)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IFERROR(__xludf.DUMMYFUNCTION("IMPORTRANGE(""https://docs.google.com/spreadsheets/d/1SX6NBoVAgQJ6U1MVXOaj8PK2l7WJ3RER9xtqwdhxkhw/edit?usp=sharing"",""อ่างทอง!I195"")"),0)</f>
        <v>0</v>
      </c>
      <c r="J285" s="189">
        <f ca="1">IFERROR(__xludf.DUMMYFUNCTION("IMPORTRANGE(""https://docs.google.com/spreadsheets/d/1SX6NBoVAgQJ6U1MVXOaj8PK2l7WJ3RER9xtqwdhxkhw/edit?usp=sharing"",""อ่างทอง!J195"")"),0)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IFERROR(__xludf.DUMMYFUNCTION("IMPORTRANGE(""https://docs.google.com/spreadsheets/d/1SX6NBoVAgQJ6U1MVXOaj8PK2l7WJ3RER9xtqwdhxkhw/edit?usp=sharing"",""อ่างทอง!J196"")"),0)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IFERROR(__xludf.DUMMYFUNCTION("IMPORTRANGE(""https://docs.google.com/spreadsheets/d/1SX6NBoVAgQJ6U1MVXOaj8PK2l7WJ3RER9xtqwdhxkhw/edit?usp=sharing"",""อ่างทอง!J197"")"),0)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IFERROR(__xludf.DUMMYFUNCTION("IMPORTRANGE(""https://docs.google.com/spreadsheets/d/1SX6NBoVAgQJ6U1MVXOaj8PK2l7WJ3RER9xtqwdhxkhw/edit?usp=sharing"",""อ่างทอง!I199"")"),0)</f>
        <v>0</v>
      </c>
      <c r="J289" s="316">
        <f ca="1">IFERROR(__xludf.DUMMYFUNCTION("IMPORTRANGE(""https://docs.google.com/spreadsheets/d/1SX6NBoVAgQJ6U1MVXOaj8PK2l7WJ3RER9xtqwdhxkhw/edit?usp=sharing"",""อ่างทอง!J199"")"),0)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IFERROR(__xludf.DUMMYFUNCTION("IMPORTRANGE(""https://docs.google.com/spreadsheets/d/1Yj_ptqi66GCucihVvJfMjLAmec39IyEx_6qawtMGysU/edit?usp=sharing"",""สบก!CT79"")"),0)</f>
        <v>0</v>
      </c>
      <c r="N294" s="169">
        <f ca="1">IFERROR(__xludf.DUMMYFUNCTION("IMPORTRANGE(""https://docs.google.com/spreadsheets/d/1Yj_ptqi66GCucihVvJfMjLAmec39IyEx_6qawtMGysU/edit?usp=sharing"",""สบก!CU79"")"),0)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IFERROR(__xludf.DUMMYFUNCTION("IMPORTRANGE(""https://docs.google.com/spreadsheets/d/1Yj_ptqi66GCucihVvJfMjLAmec39IyEx_6qawtMGysU/edit?usp=sharing"",""สบก!CP79"")"),0)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IFERROR(__xludf.DUMMYFUNCTION("IMPORTRANGE(""https://docs.google.com/spreadsheets/d/1Yj_ptqi66GCucihVvJfMjLAmec39IyEx_6qawtMGysU/edit?usp=sharing"",""สบก!CQ79"")"),0)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IFERROR(__xludf.DUMMYFUNCTION("IMPORTRANGE(""https://docs.google.com/spreadsheets/d/1Yj_ptqi66GCucihVvJfMjLAmec39IyEx_6qawtMGysU/edit?usp=sharing"",""สบก!CR79"")"),0)</f>
        <v>0</v>
      </c>
      <c r="M298" s="49"/>
      <c r="N298" s="49">
        <f ca="1">IFERROR(__xludf.DUMMYFUNCTION("IMPORTRANGE(""https://docs.google.com/spreadsheets/d/1Yj_ptqi66GCucihVvJfMjLAmec39IyEx_6qawtMGysU/edit?usp=sharing"",""สบก!CV79"")"),0)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IFERROR(__xludf.DUMMYFUNCTION("IMPORTRANGE(""https://docs.google.com/spreadsheets/d/1SX6NBoVAgQJ6U1MVXOaj8PK2l7WJ3RER9xtqwdhxkhw/edit?usp=sharing"",""อ่างทอง!J205"")"),0)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IFERROR(__xludf.DUMMYFUNCTION("IMPORTRANGE(""https://docs.google.com/spreadsheets/d/1SX6NBoVAgQJ6U1MVXOaj8PK2l7WJ3RER9xtqwdhxkhw/edit?usp=sharing"",""อ่างทอง!J206"")"),0)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IFERROR(__xludf.DUMMYFUNCTION("IMPORTRANGE(""https://docs.google.com/spreadsheets/d/1SX6NBoVAgQJ6U1MVXOaj8PK2l7WJ3RER9xtqwdhxkhw/edit?usp=sharing"",""อ่างทอง!J207"")"),0)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IFERROR(__xludf.DUMMYFUNCTION("IMPORTRANGE(""https://docs.google.com/spreadsheets/d/1SX6NBoVAgQJ6U1MVXOaj8PK2l7WJ3RER9xtqwdhxkhw/edit?usp=sharing"",""อ่างทอง!J208"")"),0)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IFERROR(__xludf.DUMMYFUNCTION("IMPORTRANGE(""https://docs.google.com/spreadsheets/d/1SX6NBoVAgQJ6U1MVXOaj8PK2l7WJ3RER9xtqwdhxkhw/edit?usp=sharing"",""อ่างทอง!I209"")"),0)</f>
        <v>0</v>
      </c>
      <c r="J304" s="204">
        <f ca="1">IFERROR(__xludf.DUMMYFUNCTION("IMPORTRANGE(""https://docs.google.com/spreadsheets/d/1SX6NBoVAgQJ6U1MVXOaj8PK2l7WJ3RER9xtqwdhxkhw/edit?usp=sharing"",""อ่างทอง!J209"")"),0)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IFERROR(__xludf.DUMMYFUNCTION("IMPORTRANGE(""https://docs.google.com/spreadsheets/d/1SX6NBoVAgQJ6U1MVXOaj8PK2l7WJ3RER9xtqwdhxkhw/edit?usp=sharing"",""อ่างทอง!I211"")"),0)</f>
        <v>0</v>
      </c>
      <c r="J306" s="204">
        <f ca="1">IFERROR(__xludf.DUMMYFUNCTION("IMPORTRANGE(""https://docs.google.com/spreadsheets/d/1SX6NBoVAgQJ6U1MVXOaj8PK2l7WJ3RER9xtqwdhxkhw/edit?usp=sharing"",""อ่างทอง!J211"")"),0)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IFERROR(__xludf.DUMMYFUNCTION("IMPORTRANGE(""https://docs.google.com/spreadsheets/d/1SX6NBoVAgQJ6U1MVXOaj8PK2l7WJ3RER9xtqwdhxkhw/edit?usp=sharing"",""อ่างทอง!J212"")"),0)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IFERROR(__xludf.DUMMYFUNCTION("IMPORTRANGE(""https://docs.google.com/spreadsheets/d/1SX6NBoVAgQJ6U1MVXOaj8PK2l7WJ3RER9xtqwdhxkhw/edit?usp=sharing"",""อ่างทอง!J213"")"),0)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IFERROR(__xludf.DUMMYFUNCTION("IMPORTRANGE(""https://docs.google.com/spreadsheets/d/1SX6NBoVAgQJ6U1MVXOaj8PK2l7WJ3RER9xtqwdhxkhw/edit?usp=sharing"",""อ่างทอง!I214"")"),0)</f>
        <v>0</v>
      </c>
      <c r="J309" s="333">
        <f ca="1">IFERROR(__xludf.DUMMYFUNCTION("IMPORTRANGE(""https://docs.google.com/spreadsheets/d/1SX6NBoVAgQJ6U1MVXOaj8PK2l7WJ3RER9xtqwdhxkhw/edit?usp=sharing"",""อ่างทอง!J214"")"),0)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IFERROR(__xludf.DUMMYFUNCTION("IMPORTRANGE(""https://docs.google.com/spreadsheets/d/1Yj_ptqi66GCucihVvJfMjLAmec39IyEx_6qawtMGysU/edit?usp=sharing"",""สบก!DC79"")"),0)</f>
        <v>0</v>
      </c>
      <c r="N314" s="169">
        <f ca="1">IFERROR(__xludf.DUMMYFUNCTION("IMPORTRANGE(""https://docs.google.com/spreadsheets/d/1Yj_ptqi66GCucihVvJfMjLAmec39IyEx_6qawtMGysU/edit?usp=sharing"",""สบก!DD79"")"),0)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IFERROR(__xludf.DUMMYFUNCTION("IMPORTRANGE(""https://docs.google.com/spreadsheets/d/1Yj_ptqi66GCucihVvJfMjLAmec39IyEx_6qawtMGysU/edit?usp=sharing"",""สบก!CY79"")"),0)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IFERROR(__xludf.DUMMYFUNCTION("IMPORTRANGE(""https://docs.google.com/spreadsheets/d/1Yj_ptqi66GCucihVvJfMjLAmec39IyEx_6qawtMGysU/edit?usp=sharing"",""สบก!CZ79"")"),0)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IFERROR(__xludf.DUMMYFUNCTION("IMPORTRANGE(""https://docs.google.com/spreadsheets/d/1Yj_ptqi66GCucihVvJfMjLAmec39IyEx_6qawtMGysU/edit?usp=sharing"",""สบก!DA79"")"),0)</f>
        <v>0</v>
      </c>
      <c r="M318" s="49"/>
      <c r="N318" s="49">
        <f ca="1">IFERROR(__xludf.DUMMYFUNCTION("IMPORTRANGE(""https://docs.google.com/spreadsheets/d/1Yj_ptqi66GCucihVvJfMjLAmec39IyEx_6qawtMGysU/edit?usp=sharing"",""สบก!DE79"")"),0)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IFERROR(__xludf.DUMMYFUNCTION("IMPORTRANGE(""https://docs.google.com/spreadsheets/d/1SX6NBoVAgQJ6U1MVXOaj8PK2l7WJ3RER9xtqwdhxkhw/edit?usp=sharing"",""อ่างทอง!J220"")"),0)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IFERROR(__xludf.DUMMYFUNCTION("IMPORTRANGE(""https://docs.google.com/spreadsheets/d/1SX6NBoVAgQJ6U1MVXOaj8PK2l7WJ3RER9xtqwdhxkhw/edit?usp=sharing"",""อ่างทอง!J221"")"),0)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IFERROR(__xludf.DUMMYFUNCTION("IMPORTRANGE(""https://docs.google.com/spreadsheets/d/1SX6NBoVAgQJ6U1MVXOaj8PK2l7WJ3RER9xtqwdhxkhw/edit?usp=sharing"",""อ่างทอง!J222"")"),0)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IFERROR(__xludf.DUMMYFUNCTION("IMPORTRANGE(""https://docs.google.com/spreadsheets/d/1SX6NBoVAgQJ6U1MVXOaj8PK2l7WJ3RER9xtqwdhxkhw/edit?usp=sharing"",""อ่างทอง!J223"")"),0)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IFERROR(__xludf.DUMMYFUNCTION("IMPORTRANGE(""https://docs.google.com/spreadsheets/d/1SX6NBoVAgQJ6U1MVXOaj8PK2l7WJ3RER9xtqwdhxkhw/edit?usp=sharing"",""อ่างทอง!I224"")"),0)</f>
        <v>0</v>
      </c>
      <c r="J324" s="204">
        <f ca="1">IFERROR(__xludf.DUMMYFUNCTION("IMPORTRANGE(""https://docs.google.com/spreadsheets/d/1SX6NBoVAgQJ6U1MVXOaj8PK2l7WJ3RER9xtqwdhxkhw/edit?usp=sharing"",""อ่างทอง!J224"")"),0)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IFERROR(__xludf.DUMMYFUNCTION("IMPORTRANGE(""https://docs.google.com/spreadsheets/d/1SX6NBoVAgQJ6U1MVXOaj8PK2l7WJ3RER9xtqwdhxkhw/edit?usp=sharing"",""อ่างทอง!J225"")"),0)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IFERROR(__xludf.DUMMYFUNCTION("IMPORTRANGE(""https://docs.google.com/spreadsheets/d/1SX6NBoVAgQJ6U1MVXOaj8PK2l7WJ3RER9xtqwdhxkhw/edit?usp=sharing"",""อ่างทอง!J226"")"),0)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IFERROR(__xludf.DUMMYFUNCTION("IMPORTRANGE(""https://docs.google.com/spreadsheets/d/1SX6NBoVAgQJ6U1MVXOaj8PK2l7WJ3RER9xtqwdhxkhw/edit?usp=sharing"",""อ่างทอง!I228"")"),0)</f>
        <v>0</v>
      </c>
      <c r="J328" s="339">
        <f ca="1">IFERROR(__xludf.DUMMYFUNCTION("IMPORTRANGE(""https://docs.google.com/spreadsheets/d/1SX6NBoVAgQJ6U1MVXOaj8PK2l7WJ3RER9xtqwdhxkhw/edit?usp=sharing"",""อ่างทอง!J228"")"),0)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680910</v>
      </c>
      <c r="M329" s="152">
        <f t="shared" ca="1" si="98"/>
        <v>535360</v>
      </c>
      <c r="N329" s="152">
        <f t="shared" ca="1" si="98"/>
        <v>386972</v>
      </c>
      <c r="O329" s="151">
        <f t="shared" ref="O329:O331" ca="1" si="99">IF(L329&gt;0,N329*100/L329,0)</f>
        <v>56.831593015229622</v>
      </c>
      <c r="P329" s="151">
        <f t="shared" ref="P329:P331" ca="1" si="100">IF(M329&gt;0,N329*100/M329,0)</f>
        <v>72.282576210400478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680910</v>
      </c>
      <c r="M331" s="157">
        <f t="shared" ca="1" si="102"/>
        <v>535360</v>
      </c>
      <c r="N331" s="157">
        <f t="shared" ca="1" si="102"/>
        <v>386972</v>
      </c>
      <c r="O331" s="156">
        <f t="shared" ca="1" si="99"/>
        <v>56.831593015229622</v>
      </c>
      <c r="P331" s="156">
        <f t="shared" ca="1" si="100"/>
        <v>72.282576210400478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541910</v>
      </c>
      <c r="M333" s="168">
        <f ca="1">IFERROR(__xludf.DUMMYFUNCTION("IMPORTRANGE(""https://docs.google.com/spreadsheets/d/1Yj_ptqi66GCucihVvJfMjLAmec39IyEx_6qawtMGysU/edit?usp=sharing"",""สบก!DL79"")"),396360)</f>
        <v>396360</v>
      </c>
      <c r="N333" s="169">
        <f ca="1">IFERROR(__xludf.DUMMYFUNCTION("IMPORTRANGE(""https://docs.google.com/spreadsheets/d/1Yj_ptqi66GCucihVvJfMjLAmec39IyEx_6qawtMGysU/edit?usp=sharing"",""สบก!DM79"")"),247972)</f>
        <v>247972</v>
      </c>
      <c r="O333" s="169">
        <f ca="1">IF(L333&gt;0,N333*100/L333,0)</f>
        <v>45.758889852558546</v>
      </c>
      <c r="P333" s="169">
        <f ca="1">IF(M333&gt;0,N333*100/M333,0)</f>
        <v>62.562317085477851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IFERROR(__xludf.DUMMYFUNCTION("IMPORTRANGE(""https://docs.google.com/spreadsheets/d/1Yj_ptqi66GCucihVvJfMjLAmec39IyEx_6qawtMGysU/edit?usp=sharing"",""สบก!DH79"")"),493800)</f>
        <v>493800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IFERROR(__xludf.DUMMYFUNCTION("IMPORTRANGE(""https://docs.google.com/spreadsheets/d/1Yj_ptqi66GCucihVvJfMjLAmec39IyEx_6qawtMGysU/edit?usp=sharing"",""สบก!DI79"")"),48110)</f>
        <v>48110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IFERROR(__xludf.DUMMYFUNCTION("IMPORTRANGE(""https://docs.google.com/spreadsheets/d/1Yj_ptqi66GCucihVvJfMjLAmec39IyEx_6qawtMGysU/edit?usp=sharing"",""สบก!DJ79"")"),139000)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IFERROR(__xludf.DUMMYFUNCTION("IMPORTRANGE(""https://docs.google.com/spreadsheets/d/1Yj_ptqi66GCucihVvJfMjLAmec39IyEx_6qawtMGysU/edit?usp=sharing"",""สบก!DN79"")"),139000)</f>
        <v>139000</v>
      </c>
      <c r="O337" s="49">
        <f ca="1">IF(L337&gt;0,N337*100/L337,0)</f>
        <v>100</v>
      </c>
      <c r="P337" s="16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IFERROR(__xludf.DUMMYFUNCTION("IMPORTRANGE(""https://docs.google.com/spreadsheets/d/1SX6NBoVAgQJ6U1MVXOaj8PK2l7WJ3RER9xtqwdhxkhw/edit?usp=sharing"",""อ่างทอง!I234"")"),0)</f>
        <v>0</v>
      </c>
      <c r="J339" s="188">
        <f ca="1">IFERROR(__xludf.DUMMYFUNCTION("IMPORTRANGE(""https://docs.google.com/spreadsheets/d/1SX6NBoVAgQJ6U1MVXOaj8PK2l7WJ3RER9xtqwdhxkhw/edit?usp=sharing"",""อ่างทอง!J234"")"),0)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IFERROR(__xludf.DUMMYFUNCTION("IMPORTRANGE(""https://docs.google.com/spreadsheets/d/1SX6NBoVAgQJ6U1MVXOaj8PK2l7WJ3RER9xtqwdhxkhw/edit?usp=sharing"",""อ่างทอง!I235"")"),0)</f>
        <v>0</v>
      </c>
      <c r="J340" s="188">
        <f ca="1">IFERROR(__xludf.DUMMYFUNCTION("IMPORTRANGE(""https://docs.google.com/spreadsheets/d/1SX6NBoVAgQJ6U1MVXOaj8PK2l7WJ3RER9xtqwdhxkhw/edit?usp=sharing"",""อ่างทอง!J235"")"),0)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IFERROR(__xludf.DUMMYFUNCTION("IMPORTRANGE(""https://docs.google.com/spreadsheets/d/1SX6NBoVAgQJ6U1MVXOaj8PK2l7WJ3RER9xtqwdhxkhw/edit?usp=sharing"",""อ่างทอง!I236"")"),0)</f>
        <v>0</v>
      </c>
      <c r="J341" s="188">
        <f ca="1">IFERROR(__xludf.DUMMYFUNCTION("IMPORTRANGE(""https://docs.google.com/spreadsheets/d/1SX6NBoVAgQJ6U1MVXOaj8PK2l7WJ3RER9xtqwdhxkhw/edit?usp=sharing"",""อ่างทอง!J236"")"),0)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IFERROR(__xludf.DUMMYFUNCTION("IMPORTRANGE(""https://docs.google.com/spreadsheets/d/1SX6NBoVAgQJ6U1MVXOaj8PK2l7WJ3RER9xtqwdhxkhw/edit?usp=sharing"",""อ่างทอง!I237"")"),0)</f>
        <v>0</v>
      </c>
      <c r="J342" s="188">
        <f ca="1">IFERROR(__xludf.DUMMYFUNCTION("IMPORTRANGE(""https://docs.google.com/spreadsheets/d/1SX6NBoVAgQJ6U1MVXOaj8PK2l7WJ3RER9xtqwdhxkhw/edit?usp=sharing"",""อ่างทอง!J237"")"),0)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IFERROR(__xludf.DUMMYFUNCTION("IMPORTRANGE(""https://docs.google.com/spreadsheets/d/1SX6NBoVAgQJ6U1MVXOaj8PK2l7WJ3RER9xtqwdhxkhw/edit?usp=sharing"",""อ่างทอง!I238"")"),0)</f>
        <v>0</v>
      </c>
      <c r="J343" s="188">
        <f ca="1">IFERROR(__xludf.DUMMYFUNCTION("IMPORTRANGE(""https://docs.google.com/spreadsheets/d/1SX6NBoVAgQJ6U1MVXOaj8PK2l7WJ3RER9xtqwdhxkhw/edit?usp=sharing"",""อ่างทอง!J238"")"),0)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IFERROR(__xludf.DUMMYFUNCTION("IMPORTRANGE(""https://docs.google.com/spreadsheets/d/1SX6NBoVAgQJ6U1MVXOaj8PK2l7WJ3RER9xtqwdhxkhw/edit?usp=sharing"",""อ่างทอง!I239"")"),0)</f>
        <v>0</v>
      </c>
      <c r="J344" s="188">
        <f ca="1">IFERROR(__xludf.DUMMYFUNCTION("IMPORTRANGE(""https://docs.google.com/spreadsheets/d/1SX6NBoVAgQJ6U1MVXOaj8PK2l7WJ3RER9xtqwdhxkhw/edit?usp=sharing"",""อ่างทอง!J239"")"),0)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IFERROR(__xludf.DUMMYFUNCTION("IMPORTRANGE(""https://docs.google.com/spreadsheets/d/1SX6NBoVAgQJ6U1MVXOaj8PK2l7WJ3RER9xtqwdhxkhw/edit?usp=sharing"",""อ่างทอง!I240"")"),0)</f>
        <v>0</v>
      </c>
      <c r="J345" s="188">
        <f ca="1">IFERROR(__xludf.DUMMYFUNCTION("IMPORTRANGE(""https://docs.google.com/spreadsheets/d/1SX6NBoVAgQJ6U1MVXOaj8PK2l7WJ3RER9xtqwdhxkhw/edit?usp=sharing"",""อ่างทอง!J240"")"),0)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IFERROR(__xludf.DUMMYFUNCTION("IMPORTRANGE(""https://docs.google.com/spreadsheets/d/1SX6NBoVAgQJ6U1MVXOaj8PK2l7WJ3RER9xtqwdhxkhw/edit?usp=sharing"",""อ่างทอง!I241"")"),0)</f>
        <v>0</v>
      </c>
      <c r="J346" s="188">
        <f ca="1">IFERROR(__xludf.DUMMYFUNCTION("IMPORTRANGE(""https://docs.google.com/spreadsheets/d/1SX6NBoVAgQJ6U1MVXOaj8PK2l7WJ3RER9xtqwdhxkhw/edit?usp=sharing"",""อ่างทอง!J241"")"),0)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IFERROR(__xludf.DUMMYFUNCTION("IMPORTRANGE(""https://docs.google.com/spreadsheets/d/1SX6NBoVAgQJ6U1MVXOaj8PK2l7WJ3RER9xtqwdhxkhw/edit?usp=sharing"",""อ่างทอง!L242"")"),329940)</f>
        <v>329940</v>
      </c>
      <c r="M347" s="358"/>
      <c r="N347" s="358">
        <f ca="1">IFERROR(__xludf.DUMMYFUNCTION("IMPORTRANGE(""https://docs.google.com/spreadsheets/d/1SX6NBoVAgQJ6U1MVXOaj8PK2l7WJ3RER9xtqwdhxkhw/edit?usp=sharing"",""อ่างทอง!M242"")"),82953)</f>
        <v>82953</v>
      </c>
      <c r="O347" s="358">
        <f ca="1">+IF(L347&gt;0,N347*100/L347,0)</f>
        <v>25.141843971631207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IFERROR(__xludf.DUMMYFUNCTION("IMPORTRANGE(""https://docs.google.com/spreadsheets/d/1SX6NBoVAgQJ6U1MVXOaj8PK2l7WJ3RER9xtqwdhxkhw/edit?usp=sharing"",""อ่างทอง!I244"")"),30)</f>
        <v>30</v>
      </c>
      <c r="J349" s="371">
        <f ca="1">IFERROR(__xludf.DUMMYFUNCTION("IMPORTRANGE(""https://docs.google.com/spreadsheets/d/1SX6NBoVAgQJ6U1MVXOaj8PK2l7WJ3RER9xtqwdhxkhw/edit?usp=sharing"",""อ่างทอง!J244"")"),0)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IFERROR(__xludf.DUMMYFUNCTION("IMPORTRANGE(""https://docs.google.com/spreadsheets/d/1SX6NBoVAgQJ6U1MVXOaj8PK2l7WJ3RER9xtqwdhxkhw/edit?usp=sharing"",""อ่างทอง!L244"")"),69720)</f>
        <v>69720</v>
      </c>
      <c r="M349" s="373"/>
      <c r="N349" s="373">
        <f ca="1">IFERROR(__xludf.DUMMYFUNCTION("IMPORTRANGE(""https://docs.google.com/spreadsheets/d/1SX6NBoVAgQJ6U1MVXOaj8PK2l7WJ3RER9xtqwdhxkhw/edit?usp=sharing"",""อ่างทอง!M244"")"),8480)</f>
        <v>8480</v>
      </c>
      <c r="O349" s="373">
        <f ca="1">+IF(L349&gt;0,N349*100/L349,0)</f>
        <v>12.162937464142283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IFERROR(__xludf.DUMMYFUNCTION("IMPORTRANGE(""https://docs.google.com/spreadsheets/d/1SX6NBoVAgQJ6U1MVXOaj8PK2l7WJ3RER9xtqwdhxkhw/edit?usp=sharing"",""อ่างทอง!I245"")"),10)</f>
        <v>10</v>
      </c>
      <c r="J350" s="371">
        <f ca="1">IFERROR(__xludf.DUMMYFUNCTION("IMPORTRANGE(""https://docs.google.com/spreadsheets/d/1SX6NBoVAgQJ6U1MVXOaj8PK2l7WJ3RER9xtqwdhxkhw/edit?usp=sharing"",""อ่างทอง!J245"")"),10)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IFERROR(__xludf.DUMMYFUNCTION("IMPORTRANGE(""https://docs.google.com/spreadsheets/d/1SX6NBoVAgQJ6U1MVXOaj8PK2l7WJ3RER9xtqwdhxkhw/edit?usp=sharing"",""อ่างทอง!L246"")"),0)</f>
        <v>0</v>
      </c>
      <c r="M351" s="164"/>
      <c r="N351" s="164">
        <f ca="1">IFERROR(__xludf.DUMMYFUNCTION("IMPORTRANGE(""https://docs.google.com/spreadsheets/d/1SX6NBoVAgQJ6U1MVXOaj8PK2l7WJ3RER9xtqwdhxkhw/edit?usp=sharing"",""อ่างทอง!M246"")"),0)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IFERROR(__xludf.DUMMYFUNCTION("IMPORTRANGE(""https://docs.google.com/spreadsheets/d/1SX6NBoVAgQJ6U1MVXOaj8PK2l7WJ3RER9xtqwdhxkhw/edit?usp=sharing"",""อ่างทอง!L247"")"),69720)</f>
        <v>69720</v>
      </c>
      <c r="M352" s="165"/>
      <c r="N352" s="164">
        <f ca="1">IFERROR(__xludf.DUMMYFUNCTION("IMPORTRANGE(""https://docs.google.com/spreadsheets/d/1SX6NBoVAgQJ6U1MVXOaj8PK2l7WJ3RER9xtqwdhxkhw/edit?usp=sharing"",""อ่างทอง!M247"")"),8480)</f>
        <v>8480</v>
      </c>
      <c r="O352" s="165">
        <f t="shared" ca="1" si="105"/>
        <v>12.162937464142283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IFERROR(__xludf.DUMMYFUNCTION("IMPORTRANGE(""https://docs.google.com/spreadsheets/d/1SX6NBoVAgQJ6U1MVXOaj8PK2l7WJ3RER9xtqwdhxkhw/edit?usp=sharing"",""อ่างทอง!L248"")"),0)</f>
        <v>0</v>
      </c>
      <c r="M353" s="169"/>
      <c r="N353" s="169">
        <f ca="1">IFERROR(__xludf.DUMMYFUNCTION("IMPORTRANGE(""https://docs.google.com/spreadsheets/d/1SX6NBoVAgQJ6U1MVXOaj8PK2l7WJ3RER9xtqwdhxkhw/edit?usp=sharing"",""อ่างทอง!M248"")"),0)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IFERROR(__xludf.DUMMYFUNCTION("IMPORTRANGE(""https://docs.google.com/spreadsheets/d/1SX6NBoVAgQJ6U1MVXOaj8PK2l7WJ3RER9xtqwdhxkhw/edit?usp=sharing"",""อ่างทอง!L249"")"),69720)</f>
        <v>69720</v>
      </c>
      <c r="M354" s="169"/>
      <c r="N354" s="168">
        <f ca="1">IFERROR(__xludf.DUMMYFUNCTION("IMPORTRANGE(""https://docs.google.com/spreadsheets/d/1SX6NBoVAgQJ6U1MVXOaj8PK2l7WJ3RER9xtqwdhxkhw/edit?usp=sharing"",""อ่างทอง!M249"")"),8480)</f>
        <v>8480</v>
      </c>
      <c r="O354" s="169">
        <f t="shared" ca="1" si="105"/>
        <v>12.162937464142283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IFERROR(__xludf.DUMMYFUNCTION("IMPORTRANGE(""https://docs.google.com/spreadsheets/d/1SX6NBoVAgQJ6U1MVXOaj8PK2l7WJ3RER9xtqwdhxkhw/edit?usp=sharing"",""อ่างทอง!M250"")"),8480)</f>
        <v>8480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IFERROR(__xludf.DUMMYFUNCTION("IMPORTRANGE(""https://docs.google.com/spreadsheets/d/1SX6NBoVAgQJ6U1MVXOaj8PK2l7WJ3RER9xtqwdhxkhw/edit?usp=sharing"",""อ่างทอง!M251"")"),0)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IFERROR(__xludf.DUMMYFUNCTION("IMPORTRANGE(""https://docs.google.com/spreadsheets/d/1SX6NBoVAgQJ6U1MVXOaj8PK2l7WJ3RER9xtqwdhxkhw/edit?usp=sharing"",""อ่างทอง!M252"")"),0)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IFERROR(__xludf.DUMMYFUNCTION("IMPORTRANGE(""https://docs.google.com/spreadsheets/d/1SX6NBoVAgQJ6U1MVXOaj8PK2l7WJ3RER9xtqwdhxkhw/edit?usp=sharing"",""อ่างทอง!M253"")"),0)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IFERROR(__xludf.DUMMYFUNCTION("IMPORTRANGE(""https://docs.google.com/spreadsheets/d/1SX6NBoVAgQJ6U1MVXOaj8PK2l7WJ3RER9xtqwdhxkhw/edit?usp=sharing"",""อ่างทอง!J255"")"),0)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IFERROR(__xludf.DUMMYFUNCTION("IMPORTRANGE(""https://docs.google.com/spreadsheets/d/1SX6NBoVAgQJ6U1MVXOaj8PK2l7WJ3RER9xtqwdhxkhw/edit?usp=sharing"",""อ่างทอง!J256"")"),1)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IFERROR(__xludf.DUMMYFUNCTION("IMPORTRANGE(""https://docs.google.com/spreadsheets/d/1SX6NBoVAgQJ6U1MVXOaj8PK2l7WJ3RER9xtqwdhxkhw/edit?usp=sharing"",""อ่างทอง!J257"")"),1)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IFERROR(__xludf.DUMMYFUNCTION("IMPORTRANGE(""https://docs.google.com/spreadsheets/d/1SX6NBoVAgQJ6U1MVXOaj8PK2l7WJ3RER9xtqwdhxkhw/edit?usp=sharing"",""อ่างทอง!J258"")"),1)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IFERROR(__xludf.DUMMYFUNCTION("IMPORTRANGE(""https://docs.google.com/spreadsheets/d/1SX6NBoVAgQJ6U1MVXOaj8PK2l7WJ3RER9xtqwdhxkhw/edit?usp=sharing"",""อ่างทอง!J166"")"),0)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IFERROR(__xludf.DUMMYFUNCTION("IMPORTRANGE(""https://docs.google.com/spreadsheets/d/1SX6NBoVAgQJ6U1MVXOaj8PK2l7WJ3RER9xtqwdhxkhw/edit?usp=sharing"",""อ่างทอง!J166"")"),0)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IFERROR(__xludf.DUMMYFUNCTION("IMPORTRANGE(""https://docs.google.com/spreadsheets/d/1SX6NBoVAgQJ6U1MVXOaj8PK2l7WJ3RER9xtqwdhxkhw/edit?usp=sharing"",""อ่างทอง!J166"")"),0)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IFERROR(__xludf.DUMMYFUNCTION("IMPORTRANGE(""https://docs.google.com/spreadsheets/d/1SX6NBoVAgQJ6U1MVXOaj8PK2l7WJ3RER9xtqwdhxkhw/edit?usp=sharing"",""อ่างทอง!J166"")"),0)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IFERROR(__xludf.DUMMYFUNCTION("IMPORTRANGE(""https://docs.google.com/spreadsheets/d/1SX6NBoVAgQJ6U1MVXOaj8PK2l7WJ3RER9xtqwdhxkhw/edit?usp=sharing"",""อ่างทอง!I263"")"),10)</f>
        <v>10</v>
      </c>
      <c r="J368" s="188">
        <f ca="1">IFERROR(__xludf.DUMMYFUNCTION("IMPORTRANGE(""https://docs.google.com/spreadsheets/d/1SX6NBoVAgQJ6U1MVXOaj8PK2l7WJ3RER9xtqwdhxkhw/edit?usp=sharing"",""อ่างทอง!J263"")"),10)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IFERROR(__xludf.DUMMYFUNCTION("IMPORTRANGE(""https://docs.google.com/spreadsheets/d/1SX6NBoVAgQJ6U1MVXOaj8PK2l7WJ3RER9xtqwdhxkhw/edit?usp=sharing"",""อ่างทอง!I164"")"),0)</f>
        <v>0</v>
      </c>
      <c r="J369" s="204">
        <f ca="1">IFERROR(__xludf.DUMMYFUNCTION("IMPORTRANGE(""https://docs.google.com/spreadsheets/d/1SX6NBoVAgQJ6U1MVXOaj8PK2l7WJ3RER9xtqwdhxkhw/edit?usp=sharing"",""อ่างทอง!J164"")"),0)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IFERROR(__xludf.DUMMYFUNCTION("IMPORTRANGE(""https://docs.google.com/spreadsheets/d/1SX6NBoVAgQJ6U1MVXOaj8PK2l7WJ3RER9xtqwdhxkhw/edit?usp=sharing"",""อ่างทอง!I265"")"),10)</f>
        <v>10</v>
      </c>
      <c r="J370" s="204">
        <f ca="1">IFERROR(__xludf.DUMMYFUNCTION("IMPORTRANGE(""https://docs.google.com/spreadsheets/d/1SX6NBoVAgQJ6U1MVXOaj8PK2l7WJ3RER9xtqwdhxkhw/edit?usp=sharing"",""อ่างทอง!J265"")"),10)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IFERROR(__xludf.DUMMYFUNCTION("IMPORTRANGE(""https://docs.google.com/spreadsheets/d/1SX6NBoVAgQJ6U1MVXOaj8PK2l7WJ3RER9xtqwdhxkhw/edit?usp=sharing"",""อ่างทอง!I164"")"),0)</f>
        <v>0</v>
      </c>
      <c r="J371" s="189">
        <f ca="1">IFERROR(__xludf.DUMMYFUNCTION("IMPORTRANGE(""https://docs.google.com/spreadsheets/d/1SX6NBoVAgQJ6U1MVXOaj8PK2l7WJ3RER9xtqwdhxkhw/edit?usp=sharing"",""อ่างทอง!J164"")"),0)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IFERROR(__xludf.DUMMYFUNCTION("IMPORTRANGE(""https://docs.google.com/spreadsheets/d/1SX6NBoVAgQJ6U1MVXOaj8PK2l7WJ3RER9xtqwdhxkhw/edit?usp=sharing"",""อ่างทอง!I267"")"),10)</f>
        <v>10</v>
      </c>
      <c r="J372" s="189">
        <f ca="1">IFERROR(__xludf.DUMMYFUNCTION("IMPORTRANGE(""https://docs.google.com/spreadsheets/d/1SX6NBoVAgQJ6U1MVXOaj8PK2l7WJ3RER9xtqwdhxkhw/edit?usp=sharing"",""อ่างทอง!J267"")"),0)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IFERROR(__xludf.DUMMYFUNCTION("IMPORTRANGE(""https://docs.google.com/spreadsheets/d/1SX6NBoVAgQJ6U1MVXOaj8PK2l7WJ3RER9xtqwdhxkhw/edit?usp=sharing"",""อ่างทอง!I164"")"),0)</f>
        <v>0</v>
      </c>
      <c r="J373" s="204">
        <f ca="1">IFERROR(__xludf.DUMMYFUNCTION("IMPORTRANGE(""https://docs.google.com/spreadsheets/d/1SX6NBoVAgQJ6U1MVXOaj8PK2l7WJ3RER9xtqwdhxkhw/edit?usp=sharing"",""อ่างทอง!J164"")"),0)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IFERROR(__xludf.DUMMYFUNCTION("IMPORTRANGE(""https://docs.google.com/spreadsheets/d/1SX6NBoVAgQJ6U1MVXOaj8PK2l7WJ3RER9xtqwdhxkhw/edit?usp=sharing"",""อ่างทอง!I164"")"),0)</f>
        <v>0</v>
      </c>
      <c r="J374" s="188">
        <f ca="1">IFERROR(__xludf.DUMMYFUNCTION("IMPORTRANGE(""https://docs.google.com/spreadsheets/d/1SX6NBoVAgQJ6U1MVXOaj8PK2l7WJ3RER9xtqwdhxkhw/edit?usp=sharing"",""อ่างทอง!J164"")"),0)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IFERROR(__xludf.DUMMYFUNCTION("IMPORTRANGE(""https://docs.google.com/spreadsheets/d/1SX6NBoVAgQJ6U1MVXOaj8PK2l7WJ3RER9xtqwdhxkhw/edit?usp=sharing"",""อ่างทอง!I270"")"),30)</f>
        <v>30</v>
      </c>
      <c r="J375" s="188">
        <f ca="1">IFERROR(__xludf.DUMMYFUNCTION("IMPORTRANGE(""https://docs.google.com/spreadsheets/d/1SX6NBoVAgQJ6U1MVXOaj8PK2l7WJ3RER9xtqwdhxkhw/edit?usp=sharing"",""อ่างทอง!J270"")"),0)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IFERROR(__xludf.DUMMYFUNCTION("IMPORTRANGE(""https://docs.google.com/spreadsheets/d/1SX6NBoVAgQJ6U1MVXOaj8PK2l7WJ3RER9xtqwdhxkhw/edit?usp=sharing"",""อ่างทอง!I271"")"),30)</f>
        <v>30</v>
      </c>
      <c r="J376" s="189">
        <f ca="1">IFERROR(__xludf.DUMMYFUNCTION("IMPORTRANGE(""https://docs.google.com/spreadsheets/d/1SX6NBoVAgQJ6U1MVXOaj8PK2l7WJ3RER9xtqwdhxkhw/edit?usp=sharing"",""อ่างทอง!J271"")"),0)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IFERROR(__xludf.DUMMYFUNCTION("IMPORTRANGE(""https://docs.google.com/spreadsheets/d/1SX6NBoVAgQJ6U1MVXOaj8PK2l7WJ3RER9xtqwdhxkhw/edit?usp=sharing"",""อ่างทอง!I272"")"),0)</f>
        <v>0</v>
      </c>
      <c r="J377" s="204">
        <f ca="1">IFERROR(__xludf.DUMMYFUNCTION("IMPORTRANGE(""https://docs.google.com/spreadsheets/d/1SX6NBoVAgQJ6U1MVXOaj8PK2l7WJ3RER9xtqwdhxkhw/edit?usp=sharing"",""อ่างทอง!J272"")"),0)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IFERROR(__xludf.DUMMYFUNCTION("IMPORTRANGE(""https://docs.google.com/spreadsheets/d/1SX6NBoVAgQJ6U1MVXOaj8PK2l7WJ3RER9xtqwdhxkhw/edit?usp=sharing"",""อ่างทอง!J273"")"),0)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IFERROR(__xludf.DUMMYFUNCTION("IMPORTRANGE(""https://docs.google.com/spreadsheets/d/1SX6NBoVAgQJ6U1MVXOaj8PK2l7WJ3RER9xtqwdhxkhw/edit?usp=sharing"",""อ่างทอง!J274"")"),0)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IFERROR(__xludf.DUMMYFUNCTION("IMPORTRANGE(""https://docs.google.com/spreadsheets/d/1SX6NBoVAgQJ6U1MVXOaj8PK2l7WJ3RER9xtqwdhxkhw/edit?usp=sharing"",""อ่างทอง!I275"")"),0)</f>
        <v>0</v>
      </c>
      <c r="J380" s="371">
        <f ca="1">IFERROR(__xludf.DUMMYFUNCTION("IMPORTRANGE(""https://docs.google.com/spreadsheets/d/1SX6NBoVAgQJ6U1MVXOaj8PK2l7WJ3RER9xtqwdhxkhw/edit?usp=sharing"",""อ่างทอง!J275"")"),0)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IFERROR(__xludf.DUMMYFUNCTION("IMPORTRANGE(""https://docs.google.com/spreadsheets/d/1SX6NBoVAgQJ6U1MVXOaj8PK2l7WJ3RER9xtqwdhxkhw/edit?usp=sharing"",""อ่างทอง!L275"")"),0)</f>
        <v>0</v>
      </c>
      <c r="M380" s="373"/>
      <c r="N380" s="373">
        <f ca="1">IFERROR(__xludf.DUMMYFUNCTION("IMPORTRANGE(""https://docs.google.com/spreadsheets/d/1SX6NBoVAgQJ6U1MVXOaj8PK2l7WJ3RER9xtqwdhxkhw/edit?usp=sharing"",""อ่างทอง!M275"")"),0)</f>
        <v>0</v>
      </c>
      <c r="O380" s="373">
        <f ca="1">+IF(L380&gt;0,N380*100/L380,0)</f>
        <v>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IFERROR(__xludf.DUMMYFUNCTION("IMPORTRANGE(""https://docs.google.com/spreadsheets/d/1SX6NBoVAgQJ6U1MVXOaj8PK2l7WJ3RER9xtqwdhxkhw/edit?usp=sharing"",""อ่างทอง!I276"")"),0)</f>
        <v>0</v>
      </c>
      <c r="J381" s="371">
        <f ca="1">IFERROR(__xludf.DUMMYFUNCTION("IMPORTRANGE(""https://docs.google.com/spreadsheets/d/1SX6NBoVAgQJ6U1MVXOaj8PK2l7WJ3RER9xtqwdhxkhw/edit?usp=sharing"",""อ่างทอง!J276"")"),0)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IFERROR(__xludf.DUMMYFUNCTION("IMPORTRANGE(""https://docs.google.com/spreadsheets/d/1SX6NBoVAgQJ6U1MVXOaj8PK2l7WJ3RER9xtqwdhxkhw/edit?usp=sharing"",""อ่างทอง!L277"")"),0)</f>
        <v>0</v>
      </c>
      <c r="M382" s="164"/>
      <c r="N382" s="164">
        <f ca="1">IFERROR(__xludf.DUMMYFUNCTION("IMPORTRANGE(""https://docs.google.com/spreadsheets/d/1SX6NBoVAgQJ6U1MVXOaj8PK2l7WJ3RER9xtqwdhxkhw/edit?usp=sharing"",""อ่างทอง!M277"")"),0)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IFERROR(__xludf.DUMMYFUNCTION("IMPORTRANGE(""https://docs.google.com/spreadsheets/d/1SX6NBoVAgQJ6U1MVXOaj8PK2l7WJ3RER9xtqwdhxkhw/edit?usp=sharing"",""อ่างทอง!L278"")"),0)</f>
        <v>0</v>
      </c>
      <c r="M383" s="165"/>
      <c r="N383" s="165">
        <f ca="1">IFERROR(__xludf.DUMMYFUNCTION("IMPORTRANGE(""https://docs.google.com/spreadsheets/d/1SX6NBoVAgQJ6U1MVXOaj8PK2l7WJ3RER9xtqwdhxkhw/edit?usp=sharing"",""อ่างทอง!M278"")"),0)</f>
        <v>0</v>
      </c>
      <c r="O383" s="165">
        <f t="shared" ca="1" si="109"/>
        <v>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IFERROR(__xludf.DUMMYFUNCTION("IMPORTRANGE(""https://docs.google.com/spreadsheets/d/1SX6NBoVAgQJ6U1MVXOaj8PK2l7WJ3RER9xtqwdhxkhw/edit?usp=sharing"",""อ่างทอง!L279"")"),0)</f>
        <v>0</v>
      </c>
      <c r="M384" s="169"/>
      <c r="N384" s="169">
        <f ca="1">IFERROR(__xludf.DUMMYFUNCTION("IMPORTRANGE(""https://docs.google.com/spreadsheets/d/1SX6NBoVAgQJ6U1MVXOaj8PK2l7WJ3RER9xtqwdhxkhw/edit?usp=sharing"",""อ่างทอง!M279"")"),0)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IFERROR(__xludf.DUMMYFUNCTION("IMPORTRANGE(""https://docs.google.com/spreadsheets/d/1SX6NBoVAgQJ6U1MVXOaj8PK2l7WJ3RER9xtqwdhxkhw/edit?usp=sharing"",""อ่างทอง!L280"")"),0)</f>
        <v>0</v>
      </c>
      <c r="M385" s="169"/>
      <c r="N385" s="168">
        <f ca="1">IFERROR(__xludf.DUMMYFUNCTION("IMPORTRANGE(""https://docs.google.com/spreadsheets/d/1SX6NBoVAgQJ6U1MVXOaj8PK2l7WJ3RER9xtqwdhxkhw/edit?usp=sharing"",""อ่างทอง!M280"")"),0)</f>
        <v>0</v>
      </c>
      <c r="O385" s="169">
        <f t="shared" ca="1" si="109"/>
        <v>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IFERROR(__xludf.DUMMYFUNCTION("IMPORTRANGE(""https://docs.google.com/spreadsheets/d/1SX6NBoVAgQJ6U1MVXOaj8PK2l7WJ3RER9xtqwdhxkhw/edit?usp=sharing"",""อ่างทอง!M281"")"),0)</f>
        <v>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IFERROR(__xludf.DUMMYFUNCTION("IMPORTRANGE(""https://docs.google.com/spreadsheets/d/1SX6NBoVAgQJ6U1MVXOaj8PK2l7WJ3RER9xtqwdhxkhw/edit?usp=sharing"",""อ่างทอง!M282"")"),0)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IFERROR(__xludf.DUMMYFUNCTION("IMPORTRANGE(""https://docs.google.com/spreadsheets/d/1SX6NBoVAgQJ6U1MVXOaj8PK2l7WJ3RER9xtqwdhxkhw/edit?usp=sharing"",""อ่างทอง!M283"")"),0)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IFERROR(__xludf.DUMMYFUNCTION("IMPORTRANGE(""https://docs.google.com/spreadsheets/d/1SX6NBoVAgQJ6U1MVXOaj8PK2l7WJ3RER9xtqwdhxkhw/edit?usp=sharing"",""อ่างทอง!M284"")"),0)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IFERROR(__xludf.DUMMYFUNCTION("IMPORTRANGE(""https://docs.google.com/spreadsheets/d/1SX6NBoVAgQJ6U1MVXOaj8PK2l7WJ3RER9xtqwdhxkhw/edit?usp=sharing"",""อ่างทอง!J286"")"),0)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IFERROR(__xludf.DUMMYFUNCTION("IMPORTRANGE(""https://docs.google.com/spreadsheets/d/1SX6NBoVAgQJ6U1MVXOaj8PK2l7WJ3RER9xtqwdhxkhw/edit?usp=sharing"",""อ่างทอง!J287"")"),0)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IFERROR(__xludf.DUMMYFUNCTION("IMPORTRANGE(""https://docs.google.com/spreadsheets/d/1SX6NBoVAgQJ6U1MVXOaj8PK2l7WJ3RER9xtqwdhxkhw/edit?usp=sharing"",""อ่างทอง!J288"")"),0)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IFERROR(__xludf.DUMMYFUNCTION("IMPORTRANGE(""https://docs.google.com/spreadsheets/d/1SX6NBoVAgQJ6U1MVXOaj8PK2l7WJ3RER9xtqwdhxkhw/edit?usp=sharing"",""อ่างทอง!J289"")"),0)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IFERROR(__xludf.DUMMYFUNCTION("IMPORTRANGE(""https://docs.google.com/spreadsheets/d/1SX6NBoVAgQJ6U1MVXOaj8PK2l7WJ3RER9xtqwdhxkhw/edit?usp=sharing"",""อ่างทอง!I291"")"),0)</f>
        <v>0</v>
      </c>
      <c r="J396" s="198">
        <f ca="1">IFERROR(__xludf.DUMMYFUNCTION("IMPORTRANGE(""https://docs.google.com/spreadsheets/d/1SX6NBoVAgQJ6U1MVXOaj8PK2l7WJ3RER9xtqwdhxkhw/edit?usp=sharing"",""อ่างทอง!J291"")"),0)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IFERROR(__xludf.DUMMYFUNCTION("IMPORTRANGE(""https://docs.google.com/spreadsheets/d/1SX6NBoVAgQJ6U1MVXOaj8PK2l7WJ3RER9xtqwdhxkhw/edit?usp=sharing"",""อ่างทอง!I292"")"),0)</f>
        <v>0</v>
      </c>
      <c r="J397" s="198">
        <f ca="1">IFERROR(__xludf.DUMMYFUNCTION("IMPORTRANGE(""https://docs.google.com/spreadsheets/d/1SX6NBoVAgQJ6U1MVXOaj8PK2l7WJ3RER9xtqwdhxkhw/edit?usp=sharing"",""อ่างทอง!J292"")"),0)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IFERROR(__xludf.DUMMYFUNCTION("IMPORTRANGE(""https://docs.google.com/spreadsheets/d/1SX6NBoVAgQJ6U1MVXOaj8PK2l7WJ3RER9xtqwdhxkhw/edit?usp=sharing"",""อ่างทอง!I293"")"),0)</f>
        <v>0</v>
      </c>
      <c r="J398" s="198">
        <f ca="1">IFERROR(__xludf.DUMMYFUNCTION("IMPORTRANGE(""https://docs.google.com/spreadsheets/d/1SX6NBoVAgQJ6U1MVXOaj8PK2l7WJ3RER9xtqwdhxkhw/edit?usp=sharing"",""อ่างทอง!J293"")"),0)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IFERROR(__xludf.DUMMYFUNCTION("IMPORTRANGE(""https://docs.google.com/spreadsheets/d/1SX6NBoVAgQJ6U1MVXOaj8PK2l7WJ3RER9xtqwdhxkhw/edit?usp=sharing"",""อ่างทอง!J294"")"),0)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IFERROR(__xludf.DUMMYFUNCTION("IMPORTRANGE(""https://docs.google.com/spreadsheets/d/1SX6NBoVAgQJ6U1MVXOaj8PK2l7WJ3RER9xtqwdhxkhw/edit?usp=sharing"",""อ่างทอง!J295"")"),0)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IFERROR(__xludf.DUMMYFUNCTION("IMPORTRANGE(""https://docs.google.com/spreadsheets/d/1SX6NBoVAgQJ6U1MVXOaj8PK2l7WJ3RER9xtqwdhxkhw/edit?usp=sharing"",""อ่างทอง!I296"")"),30)</f>
        <v>30</v>
      </c>
      <c r="J401" s="371">
        <f ca="1">IFERROR(__xludf.DUMMYFUNCTION("IMPORTRANGE(""https://docs.google.com/spreadsheets/d/1SX6NBoVAgQJ6U1MVXOaj8PK2l7WJ3RER9xtqwdhxkhw/edit?usp=sharing"",""อ่างทอง!J296"")"),0)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IFERROR(__xludf.DUMMYFUNCTION("IMPORTRANGE(""https://docs.google.com/spreadsheets/d/1SX6NBoVAgQJ6U1MVXOaj8PK2l7WJ3RER9xtqwdhxkhw/edit?usp=sharing"",""อ่างทอง!L296"")"),31440)</f>
        <v>31440</v>
      </c>
      <c r="M401" s="373"/>
      <c r="N401" s="373">
        <f ca="1">IFERROR(__xludf.DUMMYFUNCTION("IMPORTRANGE(""https://docs.google.com/spreadsheets/d/1SX6NBoVAgQJ6U1MVXOaj8PK2l7WJ3RER9xtqwdhxkhw/edit?usp=sharing"",""อ่างทอง!M296"")"),10931)</f>
        <v>10931</v>
      </c>
      <c r="O401" s="373">
        <f ca="1">+IF(L401&gt;0,N401*100/L401,0)</f>
        <v>34.767811704834607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IFERROR(__xludf.DUMMYFUNCTION("IMPORTRANGE(""https://docs.google.com/spreadsheets/d/1SX6NBoVAgQJ6U1MVXOaj8PK2l7WJ3RER9xtqwdhxkhw/edit?usp=sharing"",""อ่างทอง!I297"")"),10)</f>
        <v>10</v>
      </c>
      <c r="J402" s="371">
        <f ca="1">IFERROR(__xludf.DUMMYFUNCTION("IMPORTRANGE(""https://docs.google.com/spreadsheets/d/1SX6NBoVAgQJ6U1MVXOaj8PK2l7WJ3RER9xtqwdhxkhw/edit?usp=sharing"",""อ่างทอง!J297"")"),0)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IFERROR(__xludf.DUMMYFUNCTION("IMPORTRANGE(""https://docs.google.com/spreadsheets/d/1SX6NBoVAgQJ6U1MVXOaj8PK2l7WJ3RER9xtqwdhxkhw/edit?usp=sharing"",""อ่างทอง!L298"")"),0)</f>
        <v>0</v>
      </c>
      <c r="M403" s="164"/>
      <c r="N403" s="169">
        <f ca="1">IFERROR(__xludf.DUMMYFUNCTION("IMPORTRANGE(""https://docs.google.com/spreadsheets/d/1SX6NBoVAgQJ6U1MVXOaj8PK2l7WJ3RER9xtqwdhxkhw/edit?usp=sharing"",""อ่างทอง!M298"")"),0)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IFERROR(__xludf.DUMMYFUNCTION("IMPORTRANGE(""https://docs.google.com/spreadsheets/d/1SX6NBoVAgQJ6U1MVXOaj8PK2l7WJ3RER9xtqwdhxkhw/edit?usp=sharing"",""อ่างทอง!L299"")"),31440)</f>
        <v>31440</v>
      </c>
      <c r="M404" s="165"/>
      <c r="N404" s="169">
        <f ca="1">IFERROR(__xludf.DUMMYFUNCTION("IMPORTRANGE(""https://docs.google.com/spreadsheets/d/1SX6NBoVAgQJ6U1MVXOaj8PK2l7WJ3RER9xtqwdhxkhw/edit?usp=sharing"",""อ่างทอง!M299"")"),10931)</f>
        <v>10931</v>
      </c>
      <c r="O404" s="169">
        <f t="shared" ca="1" si="112"/>
        <v>34.767811704834607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IFERROR(__xludf.DUMMYFUNCTION("IMPORTRANGE(""https://docs.google.com/spreadsheets/d/1SX6NBoVAgQJ6U1MVXOaj8PK2l7WJ3RER9xtqwdhxkhw/edit?usp=sharing"",""อ่างทอง!L300"")"),0)</f>
        <v>0</v>
      </c>
      <c r="M405" s="169"/>
      <c r="N405" s="169">
        <f ca="1">IFERROR(__xludf.DUMMYFUNCTION("IMPORTRANGE(""https://docs.google.com/spreadsheets/d/1SX6NBoVAgQJ6U1MVXOaj8PK2l7WJ3RER9xtqwdhxkhw/edit?usp=sharing"",""อ่างทอง!M300"")"),0)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IFERROR(__xludf.DUMMYFUNCTION("IMPORTRANGE(""https://docs.google.com/spreadsheets/d/1SX6NBoVAgQJ6U1MVXOaj8PK2l7WJ3RER9xtqwdhxkhw/edit?usp=sharing"",""อ่างทอง!L301"")"),31440)</f>
        <v>31440</v>
      </c>
      <c r="M406" s="169"/>
      <c r="N406" s="169">
        <f ca="1">IFERROR(__xludf.DUMMYFUNCTION("IMPORTRANGE(""https://docs.google.com/spreadsheets/d/1SX6NBoVAgQJ6U1MVXOaj8PK2l7WJ3RER9xtqwdhxkhw/edit?usp=sharing"",""อ่างทอง!M301"")"),10931)</f>
        <v>10931</v>
      </c>
      <c r="O406" s="169">
        <f t="shared" ca="1" si="112"/>
        <v>34.767811704834607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IFERROR(__xludf.DUMMYFUNCTION("IMPORTRANGE(""https://docs.google.com/spreadsheets/d/1SX6NBoVAgQJ6U1MVXOaj8PK2l7WJ3RER9xtqwdhxkhw/edit?usp=sharing"",""อ่างทอง!M302"")"),10931)</f>
        <v>10931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IFERROR(__xludf.DUMMYFUNCTION("IMPORTRANGE(""https://docs.google.com/spreadsheets/d/1SX6NBoVAgQJ6U1MVXOaj8PK2l7WJ3RER9xtqwdhxkhw/edit?usp=sharing"",""อ่างทอง!M303"")"),0)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IFERROR(__xludf.DUMMYFUNCTION("IMPORTRANGE(""https://docs.google.com/spreadsheets/d/1SX6NBoVAgQJ6U1MVXOaj8PK2l7WJ3RER9xtqwdhxkhw/edit?usp=sharing"",""อ่างทอง!M304"")"),0)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IFERROR(__xludf.DUMMYFUNCTION("IMPORTRANGE(""https://docs.google.com/spreadsheets/d/1SX6NBoVAgQJ6U1MVXOaj8PK2l7WJ3RER9xtqwdhxkhw/edit?usp=sharing"",""อ่างทอง!M305"")"),0)</f>
        <v>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IFERROR(__xludf.DUMMYFUNCTION("IMPORTRANGE(""https://docs.google.com/spreadsheets/d/1SX6NBoVAgQJ6U1MVXOaj8PK2l7WJ3RER9xtqwdhxkhw/edit?usp=sharing"",""อ่างทอง!J307"")"),0)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IFERROR(__xludf.DUMMYFUNCTION("IMPORTRANGE(""https://docs.google.com/spreadsheets/d/1SX6NBoVAgQJ6U1MVXOaj8PK2l7WJ3RER9xtqwdhxkhw/edit?usp=sharing"",""อ่างทอง!J308"")"),1)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IFERROR(__xludf.DUMMYFUNCTION("IMPORTRANGE(""https://docs.google.com/spreadsheets/d/1SX6NBoVAgQJ6U1MVXOaj8PK2l7WJ3RER9xtqwdhxkhw/edit?usp=sharing"",""อ่างทอง!J309"")"),1)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IFERROR(__xludf.DUMMYFUNCTION("IMPORTRANGE(""https://docs.google.com/spreadsheets/d/1SX6NBoVAgQJ6U1MVXOaj8PK2l7WJ3RER9xtqwdhxkhw/edit?usp=sharing"",""อ่างทอง!J310"")"),1)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IFERROR(__xludf.DUMMYFUNCTION("IMPORTRANGE(""https://docs.google.com/spreadsheets/d/1SX6NBoVAgQJ6U1MVXOaj8PK2l7WJ3RER9xtqwdhxkhw/edit?usp=sharing"",""อ่างทอง!I311"")"),10)</f>
        <v>10</v>
      </c>
      <c r="J416" s="201">
        <f ca="1">IFERROR(__xludf.DUMMYFUNCTION("IMPORTRANGE(""https://docs.google.com/spreadsheets/d/1SX6NBoVAgQJ6U1MVXOaj8PK2l7WJ3RER9xtqwdhxkhw/edit?usp=sharing"",""อ่างทอง!J311"")"),0)</f>
        <v>0</v>
      </c>
      <c r="K416" s="202">
        <f t="shared" ref="K416:K432" ca="1" si="113">IF(I416&gt;0,J416*100/I416,0)</f>
        <v>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IFERROR(__xludf.DUMMYFUNCTION("IMPORTRANGE(""https://docs.google.com/spreadsheets/d/1SX6NBoVAgQJ6U1MVXOaj8PK2l7WJ3RER9xtqwdhxkhw/edit?usp=sharing"",""อ่างทอง!I312"")"),0)</f>
        <v>0</v>
      </c>
      <c r="J417" s="392">
        <f ca="1">IFERROR(__xludf.DUMMYFUNCTION("IMPORTRANGE(""https://docs.google.com/spreadsheets/d/1SX6NBoVAgQJ6U1MVXOaj8PK2l7WJ3RER9xtqwdhxkhw/edit?usp=sharing"",""อ่างทอง!J312"")"),0)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IFERROR(__xludf.DUMMYFUNCTION("IMPORTRANGE(""https://docs.google.com/spreadsheets/d/1SX6NBoVAgQJ6U1MVXOaj8PK2l7WJ3RER9xtqwdhxkhw/edit?usp=sharing"",""อ่างทอง!I313"")"),0)</f>
        <v>0</v>
      </c>
      <c r="J418" s="393">
        <f ca="1">IFERROR(__xludf.DUMMYFUNCTION("IMPORTRANGE(""https://docs.google.com/spreadsheets/d/1SX6NBoVAgQJ6U1MVXOaj8PK2l7WJ3RER9xtqwdhxkhw/edit?usp=sharing"",""อ่างทอง!J313"")"),0)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IFERROR(__xludf.DUMMYFUNCTION("IMPORTRANGE(""https://docs.google.com/spreadsheets/d/1SX6NBoVAgQJ6U1MVXOaj8PK2l7WJ3RER9xtqwdhxkhw/edit?usp=sharing"",""อ่างทอง!I314"")"),0)</f>
        <v>0</v>
      </c>
      <c r="J419" s="394">
        <f ca="1">IFERROR(__xludf.DUMMYFUNCTION("IMPORTRANGE(""https://docs.google.com/spreadsheets/d/1SX6NBoVAgQJ6U1MVXOaj8PK2l7WJ3RER9xtqwdhxkhw/edit?usp=sharing"",""อ่างทอง!J314"")"),0)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IFERROR(__xludf.DUMMYFUNCTION("IMPORTRANGE(""https://docs.google.com/spreadsheets/d/1SX6NBoVAgQJ6U1MVXOaj8PK2l7WJ3RER9xtqwdhxkhw/edit?usp=sharing"",""อ่างทอง!I315"")"),0)</f>
        <v>0</v>
      </c>
      <c r="J420" s="394">
        <f ca="1">IFERROR(__xludf.DUMMYFUNCTION("IMPORTRANGE(""https://docs.google.com/spreadsheets/d/1SX6NBoVAgQJ6U1MVXOaj8PK2l7WJ3RER9xtqwdhxkhw/edit?usp=sharing"",""อ่างทอง!J315"")"),0)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IFERROR(__xludf.DUMMYFUNCTION("IMPORTRANGE(""https://docs.google.com/spreadsheets/d/1SX6NBoVAgQJ6U1MVXOaj8PK2l7WJ3RER9xtqwdhxkhw/edit?usp=sharing"",""อ่างทอง!I316"")"),0)</f>
        <v>0</v>
      </c>
      <c r="J421" s="392">
        <f ca="1">IFERROR(__xludf.DUMMYFUNCTION("IMPORTRANGE(""https://docs.google.com/spreadsheets/d/1SX6NBoVAgQJ6U1MVXOaj8PK2l7WJ3RER9xtqwdhxkhw/edit?usp=sharing"",""อ่างทอง!J316"")"),0)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IFERROR(__xludf.DUMMYFUNCTION("IMPORTRANGE(""https://docs.google.com/spreadsheets/d/1SX6NBoVAgQJ6U1MVXOaj8PK2l7WJ3RER9xtqwdhxkhw/edit?usp=sharing"",""อ่างทอง!I317"")"),0)</f>
        <v>0</v>
      </c>
      <c r="J422" s="393">
        <f ca="1">IFERROR(__xludf.DUMMYFUNCTION("IMPORTRANGE(""https://docs.google.com/spreadsheets/d/1SX6NBoVAgQJ6U1MVXOaj8PK2l7WJ3RER9xtqwdhxkhw/edit?usp=sharing"",""อ่างทอง!J317"")"),0)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IFERROR(__xludf.DUMMYFUNCTION("IMPORTRANGE(""https://docs.google.com/spreadsheets/d/1SX6NBoVAgQJ6U1MVXOaj8PK2l7WJ3RER9xtqwdhxkhw/edit?usp=sharing"",""อ่างทอง!I318"")"),0)</f>
        <v>0</v>
      </c>
      <c r="J423" s="394">
        <f ca="1">IFERROR(__xludf.DUMMYFUNCTION("IMPORTRANGE(""https://docs.google.com/spreadsheets/d/1SX6NBoVAgQJ6U1MVXOaj8PK2l7WJ3RER9xtqwdhxkhw/edit?usp=sharing"",""อ่างทอง!J318"")"),0)</f>
        <v>0</v>
      </c>
      <c r="K423" s="163">
        <f t="shared" ca="1" si="113"/>
        <v>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IFERROR(__xludf.DUMMYFUNCTION("IMPORTRANGE(""https://docs.google.com/spreadsheets/d/1SX6NBoVAgQJ6U1MVXOaj8PK2l7WJ3RER9xtqwdhxkhw/edit?usp=sharing"",""อ่างทอง!I319"")"),0)</f>
        <v>0</v>
      </c>
      <c r="J424" s="394">
        <f ca="1">IFERROR(__xludf.DUMMYFUNCTION("IMPORTRANGE(""https://docs.google.com/spreadsheets/d/1SX6NBoVAgQJ6U1MVXOaj8PK2l7WJ3RER9xtqwdhxkhw/edit?usp=sharing"",""อ่างทอง!J319"")"),0)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IFERROR(__xludf.DUMMYFUNCTION("IMPORTRANGE(""https://docs.google.com/spreadsheets/d/1SX6NBoVAgQJ6U1MVXOaj8PK2l7WJ3RER9xtqwdhxkhw/edit?usp=sharing"",""อ่างทอง!I320"")"),0)</f>
        <v>0</v>
      </c>
      <c r="J425" s="394">
        <f ca="1">IFERROR(__xludf.DUMMYFUNCTION("IMPORTRANGE(""https://docs.google.com/spreadsheets/d/1SX6NBoVAgQJ6U1MVXOaj8PK2l7WJ3RER9xtqwdhxkhw/edit?usp=sharing"",""อ่างทอง!J320"")"),0)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IFERROR(__xludf.DUMMYFUNCTION("IMPORTRANGE(""https://docs.google.com/spreadsheets/d/1SX6NBoVAgQJ6U1MVXOaj8PK2l7WJ3RER9xtqwdhxkhw/edit?usp=sharing"",""อ่างทอง!I321"")"),10)</f>
        <v>10</v>
      </c>
      <c r="J426" s="392">
        <f ca="1">IFERROR(__xludf.DUMMYFUNCTION("IMPORTRANGE(""https://docs.google.com/spreadsheets/d/1SX6NBoVAgQJ6U1MVXOaj8PK2l7WJ3RER9xtqwdhxkhw/edit?usp=sharing"",""อ่างทอง!J321"")"),0)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IFERROR(__xludf.DUMMYFUNCTION("IMPORTRANGE(""https://docs.google.com/spreadsheets/d/1SX6NBoVAgQJ6U1MVXOaj8PK2l7WJ3RER9xtqwdhxkhw/edit?usp=sharing"",""อ่างทอง!I322"")"),30)</f>
        <v>30</v>
      </c>
      <c r="J427" s="393">
        <f ca="1">IFERROR(__xludf.DUMMYFUNCTION("IMPORTRANGE(""https://docs.google.com/spreadsheets/d/1SX6NBoVAgQJ6U1MVXOaj8PK2l7WJ3RER9xtqwdhxkhw/edit?usp=sharing"",""อ่างทอง!J322"")"),0)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IFERROR(__xludf.DUMMYFUNCTION("IMPORTRANGE(""https://docs.google.com/spreadsheets/d/1SX6NBoVAgQJ6U1MVXOaj8PK2l7WJ3RER9xtqwdhxkhw/edit?usp=sharing"",""อ่างทอง!I323"")"),10)</f>
        <v>10</v>
      </c>
      <c r="J428" s="394">
        <f ca="1">IFERROR(__xludf.DUMMYFUNCTION("IMPORTRANGE(""https://docs.google.com/spreadsheets/d/1SX6NBoVAgQJ6U1MVXOaj8PK2l7WJ3RER9xtqwdhxkhw/edit?usp=sharing"",""อ่างทอง!J323"")"),0)</f>
        <v>0</v>
      </c>
      <c r="K428" s="163">
        <f t="shared" ca="1" si="113"/>
        <v>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IFERROR(__xludf.DUMMYFUNCTION("IMPORTRANGE(""https://docs.google.com/spreadsheets/d/1SX6NBoVAgQJ6U1MVXOaj8PK2l7WJ3RER9xtqwdhxkhw/edit?usp=sharing"",""อ่างทอง!I324"")"),10)</f>
        <v>10</v>
      </c>
      <c r="J429" s="394">
        <f ca="1">IFERROR(__xludf.DUMMYFUNCTION("IMPORTRANGE(""https://docs.google.com/spreadsheets/d/1SX6NBoVAgQJ6U1MVXOaj8PK2l7WJ3RER9xtqwdhxkhw/edit?usp=sharing"",""อ่างทอง!J324"")"),0)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IFERROR(__xludf.DUMMYFUNCTION("IMPORTRANGE(""https://docs.google.com/spreadsheets/d/1SX6NBoVAgQJ6U1MVXOaj8PK2l7WJ3RER9xtqwdhxkhw/edit?usp=sharing"",""อ่างทอง!I325"")"),0)</f>
        <v>0</v>
      </c>
      <c r="J430" s="392">
        <f ca="1">IFERROR(__xludf.DUMMYFUNCTION("IMPORTRANGE(""https://docs.google.com/spreadsheets/d/1SX6NBoVAgQJ6U1MVXOaj8PK2l7WJ3RER9xtqwdhxkhw/edit?usp=sharing"",""อ่างทอง!J325"")"),0)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IFERROR(__xludf.DUMMYFUNCTION("IMPORTRANGE(""https://docs.google.com/spreadsheets/d/1SX6NBoVAgQJ6U1MVXOaj8PK2l7WJ3RER9xtqwdhxkhw/edit?usp=sharing"",""อ่างทอง!I326"")"),0)</f>
        <v>0</v>
      </c>
      <c r="J431" s="394">
        <f ca="1">IFERROR(__xludf.DUMMYFUNCTION("IMPORTRANGE(""https://docs.google.com/spreadsheets/d/1SX6NBoVAgQJ6U1MVXOaj8PK2l7WJ3RER9xtqwdhxkhw/edit?usp=sharing"",""อ่างทอง!J326"")"),0)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IFERROR(__xludf.DUMMYFUNCTION("IMPORTRANGE(""https://docs.google.com/spreadsheets/d/1SX6NBoVAgQJ6U1MVXOaj8PK2l7WJ3RER9xtqwdhxkhw/edit?usp=sharing"",""อ่างทอง!I327"")"),0)</f>
        <v>0</v>
      </c>
      <c r="J432" s="394">
        <f ca="1">IFERROR(__xludf.DUMMYFUNCTION("IMPORTRANGE(""https://docs.google.com/spreadsheets/d/1SX6NBoVAgQJ6U1MVXOaj8PK2l7WJ3RER9xtqwdhxkhw/edit?usp=sharing"",""อ่างทอง!J327"")"),0)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IFERROR(__xludf.DUMMYFUNCTION("IMPORTRANGE(""https://docs.google.com/spreadsheets/d/1SX6NBoVAgQJ6U1MVXOaj8PK2l7WJ3RER9xtqwdhxkhw/edit?usp=sharing"",""อ่างทอง!J328"")"),0)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IFERROR(__xludf.DUMMYFUNCTION("IMPORTRANGE(""https://docs.google.com/spreadsheets/d/1SX6NBoVAgQJ6U1MVXOaj8PK2l7WJ3RER9xtqwdhxkhw/edit?usp=sharing"",""อ่างทอง!J329"")"),0)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IFERROR(__xludf.DUMMYFUNCTION("IMPORTRANGE(""https://docs.google.com/spreadsheets/d/1SX6NBoVAgQJ6U1MVXOaj8PK2l7WJ3RER9xtqwdhxkhw/edit?usp=sharing"",""อ่างทอง!I330"")"),10)</f>
        <v>10</v>
      </c>
      <c r="J435" s="410">
        <f ca="1">IFERROR(__xludf.DUMMYFUNCTION("IMPORTRANGE(""https://docs.google.com/spreadsheets/d/1SX6NBoVAgQJ6U1MVXOaj8PK2l7WJ3RER9xtqwdhxkhw/edit?usp=sharing"",""อ่างทอง!J330"")"),0)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IFERROR(__xludf.DUMMYFUNCTION("IMPORTRANGE(""https://docs.google.com/spreadsheets/d/1SX6NBoVAgQJ6U1MVXOaj8PK2l7WJ3RER9xtqwdhxkhw/edit?usp=sharing"",""อ่างทอง!L330"")"),76000)</f>
        <v>76000</v>
      </c>
      <c r="M435" s="412"/>
      <c r="N435" s="412">
        <f ca="1">IFERROR(__xludf.DUMMYFUNCTION("IMPORTRANGE(""https://docs.google.com/spreadsheets/d/1SX6NBoVAgQJ6U1MVXOaj8PK2l7WJ3RER9xtqwdhxkhw/edit?usp=sharing"",""อ่างทอง!M330"")"),10390)</f>
        <v>10390</v>
      </c>
      <c r="O435" s="412">
        <f t="shared" ref="O435:O439" ca="1" si="114">+IF(L435&gt;0,N435*100/L435,0)</f>
        <v>13.671052631578947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IFERROR(__xludf.DUMMYFUNCTION("IMPORTRANGE(""https://docs.google.com/spreadsheets/d/1SX6NBoVAgQJ6U1MVXOaj8PK2l7WJ3RER9xtqwdhxkhw/edit?usp=sharing"",""อ่างทอง!L331"")"),0)</f>
        <v>0</v>
      </c>
      <c r="M436" s="164"/>
      <c r="N436" s="169">
        <f ca="1">IFERROR(__xludf.DUMMYFUNCTION("IMPORTRANGE(""https://docs.google.com/spreadsheets/d/1SX6NBoVAgQJ6U1MVXOaj8PK2l7WJ3RER9xtqwdhxkhw/edit?usp=sharing"",""อ่างทอง!M331"")"),0)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IFERROR(__xludf.DUMMYFUNCTION("IMPORTRANGE(""https://docs.google.com/spreadsheets/d/1SX6NBoVAgQJ6U1MVXOaj8PK2l7WJ3RER9xtqwdhxkhw/edit?usp=sharing"",""อ่างทอง!L332"")"),76000)</f>
        <v>76000</v>
      </c>
      <c r="M437" s="165"/>
      <c r="N437" s="169">
        <f ca="1">IFERROR(__xludf.DUMMYFUNCTION("IMPORTRANGE(""https://docs.google.com/spreadsheets/d/1SX6NBoVAgQJ6U1MVXOaj8PK2l7WJ3RER9xtqwdhxkhw/edit?usp=sharing"",""อ่างทอง!M332"")"),10390)</f>
        <v>10390</v>
      </c>
      <c r="O437" s="169">
        <f t="shared" ca="1" si="114"/>
        <v>13.671052631578947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IFERROR(__xludf.DUMMYFUNCTION("IMPORTRANGE(""https://docs.google.com/spreadsheets/d/1SX6NBoVAgQJ6U1MVXOaj8PK2l7WJ3RER9xtqwdhxkhw/edit?usp=sharing"",""อ่างทอง!L333"")"),0)</f>
        <v>0</v>
      </c>
      <c r="M438" s="169"/>
      <c r="N438" s="169">
        <f ca="1">IFERROR(__xludf.DUMMYFUNCTION("IMPORTRANGE(""https://docs.google.com/spreadsheets/d/1SX6NBoVAgQJ6U1MVXOaj8PK2l7WJ3RER9xtqwdhxkhw/edit?usp=sharing"",""อ่างทอง!M333"")"),0)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IFERROR(__xludf.DUMMYFUNCTION("IMPORTRANGE(""https://docs.google.com/spreadsheets/d/1SX6NBoVAgQJ6U1MVXOaj8PK2l7WJ3RER9xtqwdhxkhw/edit?usp=sharing"",""อ่างทอง!L334"")"),76000)</f>
        <v>76000</v>
      </c>
      <c r="M439" s="169"/>
      <c r="N439" s="169">
        <f ca="1">IFERROR(__xludf.DUMMYFUNCTION("IMPORTRANGE(""https://docs.google.com/spreadsheets/d/1SX6NBoVAgQJ6U1MVXOaj8PK2l7WJ3RER9xtqwdhxkhw/edit?usp=sharing"",""อ่างทอง!M334"")"),10390)</f>
        <v>10390</v>
      </c>
      <c r="O439" s="169">
        <f t="shared" ca="1" si="114"/>
        <v>13.671052631578947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IFERROR(__xludf.DUMMYFUNCTION("IMPORTRANGE(""https://docs.google.com/spreadsheets/d/1SX6NBoVAgQJ6U1MVXOaj8PK2l7WJ3RER9xtqwdhxkhw/edit?usp=sharing"",""อ่างทอง!M335"")"),10390)</f>
        <v>10390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IFERROR(__xludf.DUMMYFUNCTION("IMPORTRANGE(""https://docs.google.com/spreadsheets/d/1SX6NBoVAgQJ6U1MVXOaj8PK2l7WJ3RER9xtqwdhxkhw/edit?usp=sharing"",""อ่างทอง!M336"")"),0)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IFERROR(__xludf.DUMMYFUNCTION("IMPORTRANGE(""https://docs.google.com/spreadsheets/d/1SX6NBoVAgQJ6U1MVXOaj8PK2l7WJ3RER9xtqwdhxkhw/edit?usp=sharing"",""อ่างทอง!M337"")"),0)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IFERROR(__xludf.DUMMYFUNCTION("IMPORTRANGE(""https://docs.google.com/spreadsheets/d/1SX6NBoVAgQJ6U1MVXOaj8PK2l7WJ3RER9xtqwdhxkhw/edit?usp=sharing"",""อ่างทอง!M338"")"),0)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IFERROR(__xludf.DUMMYFUNCTION("IMPORTRANGE(""https://docs.google.com/spreadsheets/d/1SX6NBoVAgQJ6U1MVXOaj8PK2l7WJ3RER9xtqwdhxkhw/edit?usp=sharing"",""อ่างทอง!J340"")"),0)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IFERROR(__xludf.DUMMYFUNCTION("IMPORTRANGE(""https://docs.google.com/spreadsheets/d/1SX6NBoVAgQJ6U1MVXOaj8PK2l7WJ3RER9xtqwdhxkhw/edit?usp=sharing"",""อ่างทอง!J341"")"),1)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IFERROR(__xludf.DUMMYFUNCTION("IMPORTRANGE(""https://docs.google.com/spreadsheets/d/1SX6NBoVAgQJ6U1MVXOaj8PK2l7WJ3RER9xtqwdhxkhw/edit?usp=sharing"",""อ่างทอง!J342"")"),1)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IFERROR(__xludf.DUMMYFUNCTION("IMPORTRANGE(""https://docs.google.com/spreadsheets/d/1SX6NBoVAgQJ6U1MVXOaj8PK2l7WJ3RER9xtqwdhxkhw/edit?usp=sharing"",""อ่างทอง!J343"")"),1)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IFERROR(__xludf.DUMMYFUNCTION("IMPORTRANGE(""https://docs.google.com/spreadsheets/d/1SX6NBoVAgQJ6U1MVXOaj8PK2l7WJ3RER9xtqwdhxkhw/edit?usp=sharing"",""อ่างทอง!I344"")"),10)</f>
        <v>10</v>
      </c>
      <c r="J449" s="201">
        <f ca="1">IFERROR(__xludf.DUMMYFUNCTION("IMPORTRANGE(""https://docs.google.com/spreadsheets/d/1SX6NBoVAgQJ6U1MVXOaj8PK2l7WJ3RER9xtqwdhxkhw/edit?usp=sharing"",""อ่างทอง!J344"")"),0)</f>
        <v>0</v>
      </c>
      <c r="K449" s="163">
        <f t="shared" ref="K449:K452" ca="1" si="115">IF(I449&gt;0,J449*100/I449,0)</f>
        <v>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IFERROR(__xludf.DUMMYFUNCTION("IMPORTRANGE(""https://docs.google.com/spreadsheets/d/1SX6NBoVAgQJ6U1MVXOaj8PK2l7WJ3RER9xtqwdhxkhw/edit?usp=sharing"",""อ่างทอง!I345"")"),10)</f>
        <v>10</v>
      </c>
      <c r="J450" s="189">
        <f ca="1">IFERROR(__xludf.DUMMYFUNCTION("IMPORTRANGE(""https://docs.google.com/spreadsheets/d/1SX6NBoVAgQJ6U1MVXOaj8PK2l7WJ3RER9xtqwdhxkhw/edit?usp=sharing"",""อ่างทอง!J345"")"),0)</f>
        <v>0</v>
      </c>
      <c r="K450" s="163">
        <f t="shared" ca="1" si="115"/>
        <v>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IFERROR(__xludf.DUMMYFUNCTION("IMPORTRANGE(""https://docs.google.com/spreadsheets/d/1SX6NBoVAgQJ6U1MVXOaj8PK2l7WJ3RER9xtqwdhxkhw/edit?usp=sharing"",""อ่างทอง!I346"")"),0)</f>
        <v>0</v>
      </c>
      <c r="J451" s="188">
        <f ca="1">IFERROR(__xludf.DUMMYFUNCTION("IMPORTRANGE(""https://docs.google.com/spreadsheets/d/1SX6NBoVAgQJ6U1MVXOaj8PK2l7WJ3RER9xtqwdhxkhw/edit?usp=sharing"",""อ่างทอง!J346"")"),0)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IFERROR(__xludf.DUMMYFUNCTION("IMPORTRANGE(""https://docs.google.com/spreadsheets/d/1SX6NBoVAgQJ6U1MVXOaj8PK2l7WJ3RER9xtqwdhxkhw/edit?usp=sharing"",""อ่างทอง!I347"")"),0)</f>
        <v>0</v>
      </c>
      <c r="J452" s="188">
        <f ca="1">IFERROR(__xludf.DUMMYFUNCTION("IMPORTRANGE(""https://docs.google.com/spreadsheets/d/1SX6NBoVAgQJ6U1MVXOaj8PK2l7WJ3RER9xtqwdhxkhw/edit?usp=sharing"",""อ่างทอง!J347"")"),0)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IFERROR(__xludf.DUMMYFUNCTION("IMPORTRANGE(""https://docs.google.com/spreadsheets/d/1SX6NBoVAgQJ6U1MVXOaj8PK2l7WJ3RER9xtqwdhxkhw/edit?usp=sharing"",""อ่างทอง!J348"")"),0)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IFERROR(__xludf.DUMMYFUNCTION("IMPORTRANGE(""https://docs.google.com/spreadsheets/d/1SX6NBoVAgQJ6U1MVXOaj8PK2l7WJ3RER9xtqwdhxkhw/edit?usp=sharing"",""อ่างทอง!J349"")"),0)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IFERROR(__xludf.DUMMYFUNCTION("IMPORTRANGE(""https://docs.google.com/spreadsheets/d/1SX6NBoVAgQJ6U1MVXOaj8PK2l7WJ3RER9xtqwdhxkhw/edit?usp=sharing"",""อ่างทอง!I350"")"),0)</f>
        <v>0</v>
      </c>
      <c r="J455" s="371">
        <f ca="1">IFERROR(__xludf.DUMMYFUNCTION("IMPORTRANGE(""https://docs.google.com/spreadsheets/d/1SX6NBoVAgQJ6U1MVXOaj8PK2l7WJ3RER9xtqwdhxkhw/edit?usp=sharing"",""อ่างทอง!J350"")"),0)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IFERROR(__xludf.DUMMYFUNCTION("IMPORTRANGE(""https://docs.google.com/spreadsheets/d/1SX6NBoVAgQJ6U1MVXOaj8PK2l7WJ3RER9xtqwdhxkhw/edit?usp=sharing"",""อ่างทอง!L350"")"),0)</f>
        <v>0</v>
      </c>
      <c r="M455" s="373"/>
      <c r="N455" s="373">
        <f ca="1">IFERROR(__xludf.DUMMYFUNCTION("IMPORTRANGE(""https://docs.google.com/spreadsheets/d/1SX6NBoVAgQJ6U1MVXOaj8PK2l7WJ3RER9xtqwdhxkhw/edit?usp=sharing"",""อ่างทอง!M350"")"),0)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IFERROR(__xludf.DUMMYFUNCTION("IMPORTRANGE(""https://docs.google.com/spreadsheets/d/1SX6NBoVAgQJ6U1MVXOaj8PK2l7WJ3RER9xtqwdhxkhw/edit?usp=sharing"",""อ่างทอง!L351"")"),0)</f>
        <v>0</v>
      </c>
      <c r="M456" s="164"/>
      <c r="N456" s="169">
        <f ca="1">IFERROR(__xludf.DUMMYFUNCTION("IMPORTRANGE(""https://docs.google.com/spreadsheets/d/1SX6NBoVAgQJ6U1MVXOaj8PK2l7WJ3RER9xtqwdhxkhw/edit?usp=sharing"",""อ่างทอง!M351"")"),0)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IFERROR(__xludf.DUMMYFUNCTION("IMPORTRANGE(""https://docs.google.com/spreadsheets/d/1SX6NBoVAgQJ6U1MVXOaj8PK2l7WJ3RER9xtqwdhxkhw/edit?usp=sharing"",""อ่างทอง!L352"")"),0)</f>
        <v>0</v>
      </c>
      <c r="M457" s="165"/>
      <c r="N457" s="169">
        <f ca="1">IFERROR(__xludf.DUMMYFUNCTION("IMPORTRANGE(""https://docs.google.com/spreadsheets/d/1SX6NBoVAgQJ6U1MVXOaj8PK2l7WJ3RER9xtqwdhxkhw/edit?usp=sharing"",""อ่างทอง!M352"")"),0)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IFERROR(__xludf.DUMMYFUNCTION("IMPORTRANGE(""https://docs.google.com/spreadsheets/d/1SX6NBoVAgQJ6U1MVXOaj8PK2l7WJ3RER9xtqwdhxkhw/edit?usp=sharing"",""อ่างทอง!L353"")"),0)</f>
        <v>0</v>
      </c>
      <c r="M458" s="169"/>
      <c r="N458" s="169">
        <f ca="1">IFERROR(__xludf.DUMMYFUNCTION("IMPORTRANGE(""https://docs.google.com/spreadsheets/d/1SX6NBoVAgQJ6U1MVXOaj8PK2l7WJ3RER9xtqwdhxkhw/edit?usp=sharing"",""อ่างทอง!M353"")"),0)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IFERROR(__xludf.DUMMYFUNCTION("IMPORTRANGE(""https://docs.google.com/spreadsheets/d/1SX6NBoVAgQJ6U1MVXOaj8PK2l7WJ3RER9xtqwdhxkhw/edit?usp=sharing"",""อ่างทอง!L354"")"),0)</f>
        <v>0</v>
      </c>
      <c r="M459" s="169"/>
      <c r="N459" s="169">
        <f ca="1">IFERROR(__xludf.DUMMYFUNCTION("IMPORTRANGE(""https://docs.google.com/spreadsheets/d/1SX6NBoVAgQJ6U1MVXOaj8PK2l7WJ3RER9xtqwdhxkhw/edit?usp=sharing"",""อ่างทอง!M354"")"),0)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IFERROR(__xludf.DUMMYFUNCTION("IMPORTRANGE(""https://docs.google.com/spreadsheets/d/1SX6NBoVAgQJ6U1MVXOaj8PK2l7WJ3RER9xtqwdhxkhw/edit?usp=sharing"",""อ่างทอง!M355"")"),0)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IFERROR(__xludf.DUMMYFUNCTION("IMPORTRANGE(""https://docs.google.com/spreadsheets/d/1SX6NBoVAgQJ6U1MVXOaj8PK2l7WJ3RER9xtqwdhxkhw/edit?usp=sharing"",""อ่างทอง!M356"")"),0)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IFERROR(__xludf.DUMMYFUNCTION("IMPORTRANGE(""https://docs.google.com/spreadsheets/d/1SX6NBoVAgQJ6U1MVXOaj8PK2l7WJ3RER9xtqwdhxkhw/edit?usp=sharing"",""อ่างทอง!M357"")"),0)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IFERROR(__xludf.DUMMYFUNCTION("IMPORTRANGE(""https://docs.google.com/spreadsheets/d/1SX6NBoVAgQJ6U1MVXOaj8PK2l7WJ3RER9xtqwdhxkhw/edit?usp=sharing"",""อ่างทอง!M358"")"),0)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IFERROR(__xludf.DUMMYFUNCTION("IMPORTRANGE(""https://docs.google.com/spreadsheets/d/1SX6NBoVAgQJ6U1MVXOaj8PK2l7WJ3RER9xtqwdhxkhw/edit?usp=sharing"",""อ่างทอง!I359"")"),0)</f>
        <v>0</v>
      </c>
      <c r="J464" s="267">
        <f ca="1">IFERROR(__xludf.DUMMYFUNCTION("IMPORTRANGE(""https://docs.google.com/spreadsheets/d/1SX6NBoVAgQJ6U1MVXOaj8PK2l7WJ3RER9xtqwdhxkhw/edit?usp=sharing"",""อ่างทอง!J359"")"),0)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IFERROR(__xludf.DUMMYFUNCTION("IMPORTRANGE(""https://docs.google.com/spreadsheets/d/1SX6NBoVAgQJ6U1MVXOaj8PK2l7WJ3RER9xtqwdhxkhw/edit?usp=sharing"",""อ่างทอง!I360"")"),0)</f>
        <v>0</v>
      </c>
      <c r="J465" s="420">
        <f ca="1">IFERROR(__xludf.DUMMYFUNCTION("IMPORTRANGE(""https://docs.google.com/spreadsheets/d/1SX6NBoVAgQJ6U1MVXOaj8PK2l7WJ3RER9xtqwdhxkhw/edit?usp=sharing"",""อ่างทอง!J360"")"),0)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IFERROR(__xludf.DUMMYFUNCTION("IMPORTRANGE(""https://docs.google.com/spreadsheets/d/1SX6NBoVAgQJ6U1MVXOaj8PK2l7WJ3RER9xtqwdhxkhw/edit?usp=sharing"",""อ่างทอง!I361"")"),0)</f>
        <v>0</v>
      </c>
      <c r="J466" s="420">
        <f ca="1">IFERROR(__xludf.DUMMYFUNCTION("IMPORTRANGE(""https://docs.google.com/spreadsheets/d/1SX6NBoVAgQJ6U1MVXOaj8PK2l7WJ3RER9xtqwdhxkhw/edit?usp=sharing"",""อ่างทอง!J361"")"),0)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IFERROR(__xludf.DUMMYFUNCTION("IMPORTRANGE(""https://docs.google.com/spreadsheets/d/1SX6NBoVAgQJ6U1MVXOaj8PK2l7WJ3RER9xtqwdhxkhw/edit?usp=sharing"",""อ่างทอง!I362"")"),0)</f>
        <v>0</v>
      </c>
      <c r="J467" s="189">
        <f ca="1">IFERROR(__xludf.DUMMYFUNCTION("IMPORTRANGE(""https://docs.google.com/spreadsheets/d/1SX6NBoVAgQJ6U1MVXOaj8PK2l7WJ3RER9xtqwdhxkhw/edit?usp=sharing"",""อ่างทอง!J362"")"),0)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IFERROR(__xludf.DUMMYFUNCTION("IMPORTRANGE(""https://docs.google.com/spreadsheets/d/1SX6NBoVAgQJ6U1MVXOaj8PK2l7WJ3RER9xtqwdhxkhw/edit?usp=sharing"",""อ่างทอง!I363"")"),0)</f>
        <v>0</v>
      </c>
      <c r="J468" s="189">
        <f ca="1">IFERROR(__xludf.DUMMYFUNCTION("IMPORTRANGE(""https://docs.google.com/spreadsheets/d/1SX6NBoVAgQJ6U1MVXOaj8PK2l7WJ3RER9xtqwdhxkhw/edit?usp=sharing"",""อ่างทอง!J363"")"),0)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IFERROR(__xludf.DUMMYFUNCTION("IMPORTRANGE(""https://docs.google.com/spreadsheets/d/1SX6NBoVAgQJ6U1MVXOaj8PK2l7WJ3RER9xtqwdhxkhw/edit?usp=sharing"",""อ่างทอง!I364"")"),0)</f>
        <v>0</v>
      </c>
      <c r="J469" s="189">
        <f ca="1">IFERROR(__xludf.DUMMYFUNCTION("IMPORTRANGE(""https://docs.google.com/spreadsheets/d/1SX6NBoVAgQJ6U1MVXOaj8PK2l7WJ3RER9xtqwdhxkhw/edit?usp=sharing"",""อ่างทอง!J364"")"),0)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IFERROR(__xludf.DUMMYFUNCTION("IMPORTRANGE(""https://docs.google.com/spreadsheets/d/1SX6NBoVAgQJ6U1MVXOaj8PK2l7WJ3RER9xtqwdhxkhw/edit?usp=sharing"",""อ่างทอง!I365"")"),0)</f>
        <v>0</v>
      </c>
      <c r="J470" s="189">
        <f ca="1">IFERROR(__xludf.DUMMYFUNCTION("IMPORTRANGE(""https://docs.google.com/spreadsheets/d/1SX6NBoVAgQJ6U1MVXOaj8PK2l7WJ3RER9xtqwdhxkhw/edit?usp=sharing"",""อ่างทอง!J365"")"),0)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IFERROR(__xludf.DUMMYFUNCTION("IMPORTRANGE(""https://docs.google.com/spreadsheets/d/1SX6NBoVAgQJ6U1MVXOaj8PK2l7WJ3RER9xtqwdhxkhw/edit?usp=sharing"",""อ่างทอง!I366"")"),0)</f>
        <v>0</v>
      </c>
      <c r="J471" s="189">
        <f ca="1">IFERROR(__xludf.DUMMYFUNCTION("IMPORTRANGE(""https://docs.google.com/spreadsheets/d/1SX6NBoVAgQJ6U1MVXOaj8PK2l7WJ3RER9xtqwdhxkhw/edit?usp=sharing"",""อ่างทอง!J366"")"),0)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IFERROR(__xludf.DUMMYFUNCTION("IMPORTRANGE(""https://docs.google.com/spreadsheets/d/1SX6NBoVAgQJ6U1MVXOaj8PK2l7WJ3RER9xtqwdhxkhw/edit?usp=sharing"",""อ่างทอง!I367"")"),0)</f>
        <v>0</v>
      </c>
      <c r="J472" s="189">
        <f ca="1">IFERROR(__xludf.DUMMYFUNCTION("IMPORTRANGE(""https://docs.google.com/spreadsheets/d/1SX6NBoVAgQJ6U1MVXOaj8PK2l7WJ3RER9xtqwdhxkhw/edit?usp=sharing"",""อ่างทอง!J367"")"),0)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IFERROR(__xludf.DUMMYFUNCTION("IMPORTRANGE(""https://docs.google.com/spreadsheets/d/1SX6NBoVAgQJ6U1MVXOaj8PK2l7WJ3RER9xtqwdhxkhw/edit?usp=sharing"",""อ่างทอง!I368"")"),0)</f>
        <v>0</v>
      </c>
      <c r="J473" s="420">
        <f ca="1">IFERROR(__xludf.DUMMYFUNCTION("IMPORTRANGE(""https://docs.google.com/spreadsheets/d/1SX6NBoVAgQJ6U1MVXOaj8PK2l7WJ3RER9xtqwdhxkhw/edit?usp=sharing"",""อ่างทอง!J368"")"),0)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IFERROR(__xludf.DUMMYFUNCTION("IMPORTRANGE(""https://docs.google.com/spreadsheets/d/1SX6NBoVAgQJ6U1MVXOaj8PK2l7WJ3RER9xtqwdhxkhw/edit?usp=sharing"",""อ่างทอง!I369"")"),0)</f>
        <v>0</v>
      </c>
      <c r="J474" s="420">
        <f ca="1">IFERROR(__xludf.DUMMYFUNCTION("IMPORTRANGE(""https://docs.google.com/spreadsheets/d/1SX6NBoVAgQJ6U1MVXOaj8PK2l7WJ3RER9xtqwdhxkhw/edit?usp=sharing"",""อ่างทอง!J369"")"),0)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IFERROR(__xludf.DUMMYFUNCTION("IMPORTRANGE(""https://docs.google.com/spreadsheets/d/1SX6NBoVAgQJ6U1MVXOaj8PK2l7WJ3RER9xtqwdhxkhw/edit?usp=sharing"",""อ่างทอง!I370"")"),0)</f>
        <v>0</v>
      </c>
      <c r="J475" s="189">
        <f ca="1">IFERROR(__xludf.DUMMYFUNCTION("IMPORTRANGE(""https://docs.google.com/spreadsheets/d/1SX6NBoVAgQJ6U1MVXOaj8PK2l7WJ3RER9xtqwdhxkhw/edit?usp=sharing"",""อ่างทอง!J370"")"),0)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IFERROR(__xludf.DUMMYFUNCTION("IMPORTRANGE(""https://docs.google.com/spreadsheets/d/1SX6NBoVAgQJ6U1MVXOaj8PK2l7WJ3RER9xtqwdhxkhw/edit?usp=sharing"",""อ่างทอง!I371"")"),0)</f>
        <v>0</v>
      </c>
      <c r="J476" s="189">
        <f ca="1">IFERROR(__xludf.DUMMYFUNCTION("IMPORTRANGE(""https://docs.google.com/spreadsheets/d/1SX6NBoVAgQJ6U1MVXOaj8PK2l7WJ3RER9xtqwdhxkhw/edit?usp=sharing"",""อ่างทอง!J371"")"),0)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IFERROR(__xludf.DUMMYFUNCTION("IMPORTRANGE(""https://docs.google.com/spreadsheets/d/1SX6NBoVAgQJ6U1MVXOaj8PK2l7WJ3RER9xtqwdhxkhw/edit?usp=sharing"",""อ่างทอง!I372"")"),0)</f>
        <v>0</v>
      </c>
      <c r="J477" s="189">
        <f ca="1">IFERROR(__xludf.DUMMYFUNCTION("IMPORTRANGE(""https://docs.google.com/spreadsheets/d/1SX6NBoVAgQJ6U1MVXOaj8PK2l7WJ3RER9xtqwdhxkhw/edit?usp=sharing"",""อ่างทอง!J372"")"),0)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IFERROR(__xludf.DUMMYFUNCTION("IMPORTRANGE(""https://docs.google.com/spreadsheets/d/1SX6NBoVAgQJ6U1MVXOaj8PK2l7WJ3RER9xtqwdhxkhw/edit?usp=sharing"",""อ่างทอง!I373"")"),0)</f>
        <v>0</v>
      </c>
      <c r="J478" s="189">
        <f ca="1">IFERROR(__xludf.DUMMYFUNCTION("IMPORTRANGE(""https://docs.google.com/spreadsheets/d/1SX6NBoVAgQJ6U1MVXOaj8PK2l7WJ3RER9xtqwdhxkhw/edit?usp=sharing"",""อ่างทอง!J373"")"),0)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IFERROR(__xludf.DUMMYFUNCTION("IMPORTRANGE(""https://docs.google.com/spreadsheets/d/1SX6NBoVAgQJ6U1MVXOaj8PK2l7WJ3RER9xtqwdhxkhw/edit?usp=sharing"",""อ่างทอง!I374"")"),0)</f>
        <v>0</v>
      </c>
      <c r="J479" s="189">
        <f ca="1">IFERROR(__xludf.DUMMYFUNCTION("IMPORTRANGE(""https://docs.google.com/spreadsheets/d/1SX6NBoVAgQJ6U1MVXOaj8PK2l7WJ3RER9xtqwdhxkhw/edit?usp=sharing"",""อ่างทอง!J374"")"),0)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IFERROR(__xludf.DUMMYFUNCTION("IMPORTRANGE(""https://docs.google.com/spreadsheets/d/1SX6NBoVAgQJ6U1MVXOaj8PK2l7WJ3RER9xtqwdhxkhw/edit?usp=sharing"",""อ่างทอง!I375"")"),0)</f>
        <v>0</v>
      </c>
      <c r="J480" s="189">
        <f ca="1">IFERROR(__xludf.DUMMYFUNCTION("IMPORTRANGE(""https://docs.google.com/spreadsheets/d/1SX6NBoVAgQJ6U1MVXOaj8PK2l7WJ3RER9xtqwdhxkhw/edit?usp=sharing"",""อ่างทอง!J375"")"),0)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IFERROR(__xludf.DUMMYFUNCTION("IMPORTRANGE(""https://docs.google.com/spreadsheets/d/1SX6NBoVAgQJ6U1MVXOaj8PK2l7WJ3RER9xtqwdhxkhw/edit?usp=sharing"",""อ่างทอง!I376"")"),0)</f>
        <v>0</v>
      </c>
      <c r="J481" s="420">
        <f ca="1">IFERROR(__xludf.DUMMYFUNCTION("IMPORTRANGE(""https://docs.google.com/spreadsheets/d/1SX6NBoVAgQJ6U1MVXOaj8PK2l7WJ3RER9xtqwdhxkhw/edit?usp=sharing"",""อ่างทอง!J376"")"),0)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IFERROR(__xludf.DUMMYFUNCTION("IMPORTRANGE(""https://docs.google.com/spreadsheets/d/1SX6NBoVAgQJ6U1MVXOaj8PK2l7WJ3RER9xtqwdhxkhw/edit?usp=sharing"",""อ่างทอง!I377"")"),0)</f>
        <v>0</v>
      </c>
      <c r="J482" s="420">
        <f ca="1">IFERROR(__xludf.DUMMYFUNCTION("IMPORTRANGE(""https://docs.google.com/spreadsheets/d/1SX6NBoVAgQJ6U1MVXOaj8PK2l7WJ3RER9xtqwdhxkhw/edit?usp=sharing"",""อ่างทอง!J377"")"),0)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IFERROR(__xludf.DUMMYFUNCTION("IMPORTRANGE(""https://docs.google.com/spreadsheets/d/1SX6NBoVAgQJ6U1MVXOaj8PK2l7WJ3RER9xtqwdhxkhw/edit?usp=sharing"",""อ่างทอง!I378"")"),0)</f>
        <v>0</v>
      </c>
      <c r="J483" s="189">
        <f ca="1">IFERROR(__xludf.DUMMYFUNCTION("IMPORTRANGE(""https://docs.google.com/spreadsheets/d/1SX6NBoVAgQJ6U1MVXOaj8PK2l7WJ3RER9xtqwdhxkhw/edit?usp=sharing"",""อ่างทอง!J378"")"),0)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IFERROR(__xludf.DUMMYFUNCTION("IMPORTRANGE(""https://docs.google.com/spreadsheets/d/1SX6NBoVAgQJ6U1MVXOaj8PK2l7WJ3RER9xtqwdhxkhw/edit?usp=sharing"",""อ่างทอง!I379"")"),0)</f>
        <v>0</v>
      </c>
      <c r="J484" s="189">
        <f ca="1">IFERROR(__xludf.DUMMYFUNCTION("IMPORTRANGE(""https://docs.google.com/spreadsheets/d/1SX6NBoVAgQJ6U1MVXOaj8PK2l7WJ3RER9xtqwdhxkhw/edit?usp=sharing"",""อ่างทอง!J379"")"),0)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IFERROR(__xludf.DUMMYFUNCTION("IMPORTRANGE(""https://docs.google.com/spreadsheets/d/1SX6NBoVAgQJ6U1MVXOaj8PK2l7WJ3RER9xtqwdhxkhw/edit?usp=sharing"",""อ่างทอง!I380"")"),0)</f>
        <v>0</v>
      </c>
      <c r="J485" s="189">
        <f ca="1">IFERROR(__xludf.DUMMYFUNCTION("IMPORTRANGE(""https://docs.google.com/spreadsheets/d/1SX6NBoVAgQJ6U1MVXOaj8PK2l7WJ3RER9xtqwdhxkhw/edit?usp=sharing"",""อ่างทอง!J380"")"),0)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IFERROR(__xludf.DUMMYFUNCTION("IMPORTRANGE(""https://docs.google.com/spreadsheets/d/1SX6NBoVAgQJ6U1MVXOaj8PK2l7WJ3RER9xtqwdhxkhw/edit?usp=sharing"",""อ่างทอง!I381"")"),0)</f>
        <v>0</v>
      </c>
      <c r="J486" s="189">
        <f ca="1">IFERROR(__xludf.DUMMYFUNCTION("IMPORTRANGE(""https://docs.google.com/spreadsheets/d/1SX6NBoVAgQJ6U1MVXOaj8PK2l7WJ3RER9xtqwdhxkhw/edit?usp=sharing"",""อ่างทอง!J381"")"),0)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IFERROR(__xludf.DUMMYFUNCTION("IMPORTRANGE(""https://docs.google.com/spreadsheets/d/1SX6NBoVAgQJ6U1MVXOaj8PK2l7WJ3RER9xtqwdhxkhw/edit?usp=sharing"",""อ่างทอง!I382"")"),0)</f>
        <v>0</v>
      </c>
      <c r="J487" s="420">
        <f ca="1">IFERROR(__xludf.DUMMYFUNCTION("IMPORTRANGE(""https://docs.google.com/spreadsheets/d/1SX6NBoVAgQJ6U1MVXOaj8PK2l7WJ3RER9xtqwdhxkhw/edit?usp=sharing"",""อ่างทอง!J382"")"),0)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IFERROR(__xludf.DUMMYFUNCTION("IMPORTRANGE(""https://docs.google.com/spreadsheets/d/1SX6NBoVAgQJ6U1MVXOaj8PK2l7WJ3RER9xtqwdhxkhw/edit?usp=sharing"",""อ่างทอง!I383"")"),0)</f>
        <v>0</v>
      </c>
      <c r="J488" s="420">
        <f ca="1">IFERROR(__xludf.DUMMYFUNCTION("IMPORTRANGE(""https://docs.google.com/spreadsheets/d/1SX6NBoVAgQJ6U1MVXOaj8PK2l7WJ3RER9xtqwdhxkhw/edit?usp=sharing"",""อ่างทอง!J383"")"),0)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IFERROR(__xludf.DUMMYFUNCTION("IMPORTRANGE(""https://docs.google.com/spreadsheets/d/1SX6NBoVAgQJ6U1MVXOaj8PK2l7WJ3RER9xtqwdhxkhw/edit?usp=sharing"",""อ่างทอง!I384"")"),0)</f>
        <v>0</v>
      </c>
      <c r="J489" s="189">
        <f ca="1">IFERROR(__xludf.DUMMYFUNCTION("IMPORTRANGE(""https://docs.google.com/spreadsheets/d/1SX6NBoVAgQJ6U1MVXOaj8PK2l7WJ3RER9xtqwdhxkhw/edit?usp=sharing"",""อ่างทอง!J384"")"),0)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IFERROR(__xludf.DUMMYFUNCTION("IMPORTRANGE(""https://docs.google.com/spreadsheets/d/1SX6NBoVAgQJ6U1MVXOaj8PK2l7WJ3RER9xtqwdhxkhw/edit?usp=sharing"",""อ่างทอง!I385"")"),0)</f>
        <v>0</v>
      </c>
      <c r="J490" s="189">
        <f ca="1">IFERROR(__xludf.DUMMYFUNCTION("IMPORTRANGE(""https://docs.google.com/spreadsheets/d/1SX6NBoVAgQJ6U1MVXOaj8PK2l7WJ3RER9xtqwdhxkhw/edit?usp=sharing"",""อ่างทอง!J385"")"),0)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IFERROR(__xludf.DUMMYFUNCTION("IMPORTRANGE(""https://docs.google.com/spreadsheets/d/1SX6NBoVAgQJ6U1MVXOaj8PK2l7WJ3RER9xtqwdhxkhw/edit?usp=sharing"",""อ่างทอง!I386"")"),0)</f>
        <v>0</v>
      </c>
      <c r="J491" s="189">
        <f ca="1">IFERROR(__xludf.DUMMYFUNCTION("IMPORTRANGE(""https://docs.google.com/spreadsheets/d/1SX6NBoVAgQJ6U1MVXOaj8PK2l7WJ3RER9xtqwdhxkhw/edit?usp=sharing"",""อ่างทอง!J386"")"),0)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IFERROR(__xludf.DUMMYFUNCTION("IMPORTRANGE(""https://docs.google.com/spreadsheets/d/1SX6NBoVAgQJ6U1MVXOaj8PK2l7WJ3RER9xtqwdhxkhw/edit?usp=sharing"",""อ่างทอง!I387"")"),0)</f>
        <v>0</v>
      </c>
      <c r="J492" s="189">
        <f ca="1">IFERROR(__xludf.DUMMYFUNCTION("IMPORTRANGE(""https://docs.google.com/spreadsheets/d/1SX6NBoVAgQJ6U1MVXOaj8PK2l7WJ3RER9xtqwdhxkhw/edit?usp=sharing"",""อ่างทอง!J387"")"),0)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IFERROR(__xludf.DUMMYFUNCTION("IMPORTRANGE(""https://docs.google.com/spreadsheets/d/1SX6NBoVAgQJ6U1MVXOaj8PK2l7WJ3RER9xtqwdhxkhw/edit?usp=sharing"",""อ่างทอง!I388"")"),0)</f>
        <v>0</v>
      </c>
      <c r="J493" s="189">
        <f ca="1">IFERROR(__xludf.DUMMYFUNCTION("IMPORTRANGE(""https://docs.google.com/spreadsheets/d/1SX6NBoVAgQJ6U1MVXOaj8PK2l7WJ3RER9xtqwdhxkhw/edit?usp=sharing"",""อ่างทอง!J388"")"),0)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IFERROR(__xludf.DUMMYFUNCTION("IMPORTRANGE(""https://docs.google.com/spreadsheets/d/1SX6NBoVAgQJ6U1MVXOaj8PK2l7WJ3RER9xtqwdhxkhw/edit?usp=sharing"",""อ่างทอง!I389"")"),0)</f>
        <v>0</v>
      </c>
      <c r="J494" s="436">
        <f ca="1">IFERROR(__xludf.DUMMYFUNCTION("IMPORTRANGE(""https://docs.google.com/spreadsheets/d/1SX6NBoVAgQJ6U1MVXOaj8PK2l7WJ3RER9xtqwdhxkhw/edit?usp=sharing"",""อ่างทอง!J389"")"),0)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IFERROR(__xludf.DUMMYFUNCTION("IMPORTRANGE(""https://docs.google.com/spreadsheets/d/1SX6NBoVAgQJ6U1MVXOaj8PK2l7WJ3RER9xtqwdhxkhw/edit?usp=sharing"",""อ่างทอง!I390"")"),0)</f>
        <v>0</v>
      </c>
      <c r="J495" s="436">
        <f ca="1">IFERROR(__xludf.DUMMYFUNCTION("IMPORTRANGE(""https://docs.google.com/spreadsheets/d/1SX6NBoVAgQJ6U1MVXOaj8PK2l7WJ3RER9xtqwdhxkhw/edit?usp=sharing"",""อ่างทอง!J390"")"),0)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IFERROR(__xludf.DUMMYFUNCTION("IMPORTRANGE(""https://docs.google.com/spreadsheets/d/1SX6NBoVAgQJ6U1MVXOaj8PK2l7WJ3RER9xtqwdhxkhw/edit?usp=sharing"",""อ่างทอง!I391"")"),0)</f>
        <v>0</v>
      </c>
      <c r="J496" s="436">
        <f ca="1">IFERROR(__xludf.DUMMYFUNCTION("IMPORTRANGE(""https://docs.google.com/spreadsheets/d/1SX6NBoVAgQJ6U1MVXOaj8PK2l7WJ3RER9xtqwdhxkhw/edit?usp=sharing"",""อ่างทอง!J391"")"),0)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IFERROR(__xludf.DUMMYFUNCTION("IMPORTRANGE(""https://docs.google.com/spreadsheets/d/1SX6NBoVAgQJ6U1MVXOaj8PK2l7WJ3RER9xtqwdhxkhw/edit?usp=sharing"",""อ่างทอง!I392"")"),0)</f>
        <v>0</v>
      </c>
      <c r="J497" s="443">
        <f ca="1">IFERROR(__xludf.DUMMYFUNCTION("IMPORTRANGE(""https://docs.google.com/spreadsheets/d/1SX6NBoVAgQJ6U1MVXOaj8PK2l7WJ3RER9xtqwdhxkhw/edit?usp=sharing"",""อ่างทอง!J392"")"),0)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IFERROR(__xludf.DUMMYFUNCTION("IMPORTRANGE(""https://docs.google.com/spreadsheets/d/1SX6NBoVAgQJ6U1MVXOaj8PK2l7WJ3RER9xtqwdhxkhw/edit?usp=sharing"",""อ่างทอง!I393"")"),0)</f>
        <v>0</v>
      </c>
      <c r="J498" s="420">
        <f ca="1">IFERROR(__xludf.DUMMYFUNCTION("IMPORTRANGE(""https://docs.google.com/spreadsheets/d/1SX6NBoVAgQJ6U1MVXOaj8PK2l7WJ3RER9xtqwdhxkhw/edit?usp=sharing"",""อ่างทอง!J393"")"),0)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IFERROR(__xludf.DUMMYFUNCTION("IMPORTRANGE(""https://docs.google.com/spreadsheets/d/1SX6NBoVAgQJ6U1MVXOaj8PK2l7WJ3RER9xtqwdhxkhw/edit?usp=sharing"",""อ่างทอง!I394"")"),0)</f>
        <v>0</v>
      </c>
      <c r="J499" s="420">
        <f ca="1">IFERROR(__xludf.DUMMYFUNCTION("IMPORTRANGE(""https://docs.google.com/spreadsheets/d/1SX6NBoVAgQJ6U1MVXOaj8PK2l7WJ3RER9xtqwdhxkhw/edit?usp=sharing"",""อ่างทอง!J394"")"),0)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IFERROR(__xludf.DUMMYFUNCTION("IMPORTRANGE(""https://docs.google.com/spreadsheets/d/1SX6NBoVAgQJ6U1MVXOaj8PK2l7WJ3RER9xtqwdhxkhw/edit?usp=sharing"",""อ่างทอง!I395"")"),0)</f>
        <v>0</v>
      </c>
      <c r="J500" s="162">
        <f ca="1">IFERROR(__xludf.DUMMYFUNCTION("IMPORTRANGE(""https://docs.google.com/spreadsheets/d/1SX6NBoVAgQJ6U1MVXOaj8PK2l7WJ3RER9xtqwdhxkhw/edit?usp=sharing"",""อ่างทอง!J395"")"),0)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IFERROR(__xludf.DUMMYFUNCTION("IMPORTRANGE(""https://docs.google.com/spreadsheets/d/1SX6NBoVAgQJ6U1MVXOaj8PK2l7WJ3RER9xtqwdhxkhw/edit?usp=sharing"",""อ่างทอง!I396"")"),0)</f>
        <v>0</v>
      </c>
      <c r="J501" s="162">
        <f ca="1">IFERROR(__xludf.DUMMYFUNCTION("IMPORTRANGE(""https://docs.google.com/spreadsheets/d/1SX6NBoVAgQJ6U1MVXOaj8PK2l7WJ3RER9xtqwdhxkhw/edit?usp=sharing"",""อ่างทอง!J396"")"),0)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IFERROR(__xludf.DUMMYFUNCTION("IMPORTRANGE(""https://docs.google.com/spreadsheets/d/1SX6NBoVAgQJ6U1MVXOaj8PK2l7WJ3RER9xtqwdhxkhw/edit?usp=sharing"",""อ่างทอง!I397"")"),0)</f>
        <v>0</v>
      </c>
      <c r="J502" s="189">
        <f ca="1">IFERROR(__xludf.DUMMYFUNCTION("IMPORTRANGE(""https://docs.google.com/spreadsheets/d/1SX6NBoVAgQJ6U1MVXOaj8PK2l7WJ3RER9xtqwdhxkhw/edit?usp=sharing"",""อ่างทอง!J397"")"),0)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IFERROR(__xludf.DUMMYFUNCTION("IMPORTRANGE(""https://docs.google.com/spreadsheets/d/1SX6NBoVAgQJ6U1MVXOaj8PK2l7WJ3RER9xtqwdhxkhw/edit?usp=sharing"",""อ่างทอง!I398"")"),0)</f>
        <v>0</v>
      </c>
      <c r="J503" s="198">
        <f ca="1">IFERROR(__xludf.DUMMYFUNCTION("IMPORTRANGE(""https://docs.google.com/spreadsheets/d/1SX6NBoVAgQJ6U1MVXOaj8PK2l7WJ3RER9xtqwdhxkhw/edit?usp=sharing"",""อ่างทอง!J398"")"),0)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IFERROR(__xludf.DUMMYFUNCTION("IMPORTRANGE(""https://docs.google.com/spreadsheets/d/1SX6NBoVAgQJ6U1MVXOaj8PK2l7WJ3RER9xtqwdhxkhw/edit?usp=sharing"",""อ่างทอง!I399"")"),0)</f>
        <v>0</v>
      </c>
      <c r="J504" s="189">
        <f ca="1">IFERROR(__xludf.DUMMYFUNCTION("IMPORTRANGE(""https://docs.google.com/spreadsheets/d/1SX6NBoVAgQJ6U1MVXOaj8PK2l7WJ3RER9xtqwdhxkhw/edit?usp=sharing"",""อ่างทอง!J399"")"),0)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IFERROR(__xludf.DUMMYFUNCTION("IMPORTRANGE(""https://docs.google.com/spreadsheets/d/1SX6NBoVAgQJ6U1MVXOaj8PK2l7WJ3RER9xtqwdhxkhw/edit?usp=sharing"",""อ่างทอง!I400"")"),0)</f>
        <v>0</v>
      </c>
      <c r="J505" s="198">
        <f ca="1">IFERROR(__xludf.DUMMYFUNCTION("IMPORTRANGE(""https://docs.google.com/spreadsheets/d/1SX6NBoVAgQJ6U1MVXOaj8PK2l7WJ3RER9xtqwdhxkhw/edit?usp=sharing"",""อ่างทอง!J400"")"),0)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IFERROR(__xludf.DUMMYFUNCTION("IMPORTRANGE(""https://docs.google.com/spreadsheets/d/1SX6NBoVAgQJ6U1MVXOaj8PK2l7WJ3RER9xtqwdhxkhw/edit?usp=sharing"",""อ่างทอง!I401"")"),0)</f>
        <v>0</v>
      </c>
      <c r="J506" s="189">
        <f ca="1">IFERROR(__xludf.DUMMYFUNCTION("IMPORTRANGE(""https://docs.google.com/spreadsheets/d/1SX6NBoVAgQJ6U1MVXOaj8PK2l7WJ3RER9xtqwdhxkhw/edit?usp=sharing"",""อ่างทอง!J401"")"),0)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IFERROR(__xludf.DUMMYFUNCTION("IMPORTRANGE(""https://docs.google.com/spreadsheets/d/1SX6NBoVAgQJ6U1MVXOaj8PK2l7WJ3RER9xtqwdhxkhw/edit?usp=sharing"",""อ่างทอง!I402"")"),0)</f>
        <v>0</v>
      </c>
      <c r="J507" s="198">
        <f ca="1">IFERROR(__xludf.DUMMYFUNCTION("IMPORTRANGE(""https://docs.google.com/spreadsheets/d/1SX6NBoVAgQJ6U1MVXOaj8PK2l7WJ3RER9xtqwdhxkhw/edit?usp=sharing"",""อ่างทอง!J402"")"),0)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IFERROR(__xludf.DUMMYFUNCTION("IMPORTRANGE(""https://docs.google.com/spreadsheets/d/1SX6NBoVAgQJ6U1MVXOaj8PK2l7WJ3RER9xtqwdhxkhw/edit?usp=sharing"",""อ่างทอง!I403"")"),0)</f>
        <v>0</v>
      </c>
      <c r="J508" s="162">
        <f ca="1">IFERROR(__xludf.DUMMYFUNCTION("IMPORTRANGE(""https://docs.google.com/spreadsheets/d/1SX6NBoVAgQJ6U1MVXOaj8PK2l7WJ3RER9xtqwdhxkhw/edit?usp=sharing"",""อ่างทอง!J403"")"),0)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IFERROR(__xludf.DUMMYFUNCTION("IMPORTRANGE(""https://docs.google.com/spreadsheets/d/1SX6NBoVAgQJ6U1MVXOaj8PK2l7WJ3RER9xtqwdhxkhw/edit?usp=sharing"",""อ่างทอง!I404"")"),0)</f>
        <v>0</v>
      </c>
      <c r="J509" s="162">
        <f ca="1">IFERROR(__xludf.DUMMYFUNCTION("IMPORTRANGE(""https://docs.google.com/spreadsheets/d/1SX6NBoVAgQJ6U1MVXOaj8PK2l7WJ3RER9xtqwdhxkhw/edit?usp=sharing"",""อ่างทอง!J404"")"),0)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IFERROR(__xludf.DUMMYFUNCTION("IMPORTRANGE(""https://docs.google.com/spreadsheets/d/1SX6NBoVAgQJ6U1MVXOaj8PK2l7WJ3RER9xtqwdhxkhw/edit?usp=sharing"",""อ่างทอง!I405"")"),0)</f>
        <v>0</v>
      </c>
      <c r="J510" s="198">
        <f ca="1">IFERROR(__xludf.DUMMYFUNCTION("IMPORTRANGE(""https://docs.google.com/spreadsheets/d/1SX6NBoVAgQJ6U1MVXOaj8PK2l7WJ3RER9xtqwdhxkhw/edit?usp=sharing"",""อ่างทอง!J405"")"),0)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IFERROR(__xludf.DUMMYFUNCTION("IMPORTRANGE(""https://docs.google.com/spreadsheets/d/1SX6NBoVAgQJ6U1MVXOaj8PK2l7WJ3RER9xtqwdhxkhw/edit?usp=sharing"",""อ่างทอง!I406"")"),0)</f>
        <v>0</v>
      </c>
      <c r="J511" s="198">
        <f ca="1">IFERROR(__xludf.DUMMYFUNCTION("IMPORTRANGE(""https://docs.google.com/spreadsheets/d/1SX6NBoVAgQJ6U1MVXOaj8PK2l7WJ3RER9xtqwdhxkhw/edit?usp=sharing"",""อ่างทอง!J406"")"),0)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IFERROR(__xludf.DUMMYFUNCTION("IMPORTRANGE(""https://docs.google.com/spreadsheets/d/1SX6NBoVAgQJ6U1MVXOaj8PK2l7WJ3RER9xtqwdhxkhw/edit?usp=sharing"",""อ่างทอง!I407"")"),0)</f>
        <v>0</v>
      </c>
      <c r="J512" s="198">
        <f ca="1">IFERROR(__xludf.DUMMYFUNCTION("IMPORTRANGE(""https://docs.google.com/spreadsheets/d/1SX6NBoVAgQJ6U1MVXOaj8PK2l7WJ3RER9xtqwdhxkhw/edit?usp=sharing"",""อ่างทอง!J407"")"),0)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IFERROR(__xludf.DUMMYFUNCTION("IMPORTRANGE(""https://docs.google.com/spreadsheets/d/1SX6NBoVAgQJ6U1MVXOaj8PK2l7WJ3RER9xtqwdhxkhw/edit?usp=sharing"",""อ่างทอง!I408"")"),0)</f>
        <v>0</v>
      </c>
      <c r="J513" s="198">
        <f ca="1">IFERROR(__xludf.DUMMYFUNCTION("IMPORTRANGE(""https://docs.google.com/spreadsheets/d/1SX6NBoVAgQJ6U1MVXOaj8PK2l7WJ3RER9xtqwdhxkhw/edit?usp=sharing"",""อ่างทอง!J408"")"),0)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IFERROR(__xludf.DUMMYFUNCTION("IMPORTRANGE(""https://docs.google.com/spreadsheets/d/1SX6NBoVAgQJ6U1MVXOaj8PK2l7WJ3RER9xtqwdhxkhw/edit?usp=sharing"",""อ่างทอง!I409"")"),0)</f>
        <v>0</v>
      </c>
      <c r="J514" s="198">
        <f ca="1">IFERROR(__xludf.DUMMYFUNCTION("IMPORTRANGE(""https://docs.google.com/spreadsheets/d/1SX6NBoVAgQJ6U1MVXOaj8PK2l7WJ3RER9xtqwdhxkhw/edit?usp=sharing"",""อ่างทอง!J409"")"),0)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IFERROR(__xludf.DUMMYFUNCTION("IMPORTRANGE(""https://docs.google.com/spreadsheets/d/1SX6NBoVAgQJ6U1MVXOaj8PK2l7WJ3RER9xtqwdhxkhw/edit?usp=sharing"",""อ่างทอง!I410"")"),0)</f>
        <v>0</v>
      </c>
      <c r="J515" s="198">
        <f ca="1">IFERROR(__xludf.DUMMYFUNCTION("IMPORTRANGE(""https://docs.google.com/spreadsheets/d/1SX6NBoVAgQJ6U1MVXOaj8PK2l7WJ3RER9xtqwdhxkhw/edit?usp=sharing"",""อ่างทอง!J410"")"),0)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IFERROR(__xludf.DUMMYFUNCTION("IMPORTRANGE(""https://docs.google.com/spreadsheets/d/1SX6NBoVAgQJ6U1MVXOaj8PK2l7WJ3RER9xtqwdhxkhw/edit?usp=sharing"",""อ่างทอง!I411"")"),0)</f>
        <v>0</v>
      </c>
      <c r="J516" s="267">
        <f ca="1">IFERROR(__xludf.DUMMYFUNCTION("IMPORTRANGE(""https://docs.google.com/spreadsheets/d/1SX6NBoVAgQJ6U1MVXOaj8PK2l7WJ3RER9xtqwdhxkhw/edit?usp=sharing"",""อ่างทอง!J411"")"),0)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IFERROR(__xludf.DUMMYFUNCTION("IMPORTRANGE(""https://docs.google.com/spreadsheets/d/1SX6NBoVAgQJ6U1MVXOaj8PK2l7WJ3RER9xtqwdhxkhw/edit?usp=sharing"",""อ่างทอง!I412"")"),0)</f>
        <v>0</v>
      </c>
      <c r="J517" s="284">
        <f ca="1">IFERROR(__xludf.DUMMYFUNCTION("IMPORTRANGE(""https://docs.google.com/spreadsheets/d/1SX6NBoVAgQJ6U1MVXOaj8PK2l7WJ3RER9xtqwdhxkhw/edit?usp=sharing"",""อ่างทอง!J412"")"),0)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IFERROR(__xludf.DUMMYFUNCTION("IMPORTRANGE(""https://docs.google.com/spreadsheets/d/1SX6NBoVAgQJ6U1MVXOaj8PK2l7WJ3RER9xtqwdhxkhw/edit?usp=sharing"",""อ่างทอง!I413"")"),0)</f>
        <v>0</v>
      </c>
      <c r="J518" s="284">
        <f ca="1">IFERROR(__xludf.DUMMYFUNCTION("IMPORTRANGE(""https://docs.google.com/spreadsheets/d/1SX6NBoVAgQJ6U1MVXOaj8PK2l7WJ3RER9xtqwdhxkhw/edit?usp=sharing"",""อ่างทอง!J413"")"),0)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IFERROR(__xludf.DUMMYFUNCTION("IMPORTRANGE(""https://docs.google.com/spreadsheets/d/1SX6NBoVAgQJ6U1MVXOaj8PK2l7WJ3RER9xtqwdhxkhw/edit?usp=sharing"",""อ่างทอง!I414"")"),0)</f>
        <v>0</v>
      </c>
      <c r="J519" s="188">
        <f ca="1">IFERROR(__xludf.DUMMYFUNCTION("IMPORTRANGE(""https://docs.google.com/spreadsheets/d/1SX6NBoVAgQJ6U1MVXOaj8PK2l7WJ3RER9xtqwdhxkhw/edit?usp=sharing"",""อ่างทอง!J414"")"),0)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IFERROR(__xludf.DUMMYFUNCTION("IMPORTRANGE(""https://docs.google.com/spreadsheets/d/1SX6NBoVAgQJ6U1MVXOaj8PK2l7WJ3RER9xtqwdhxkhw/edit?usp=sharing"",""อ่างทอง!I415"")"),0)</f>
        <v>0</v>
      </c>
      <c r="J520" s="188">
        <f ca="1">IFERROR(__xludf.DUMMYFUNCTION("IMPORTRANGE(""https://docs.google.com/spreadsheets/d/1SX6NBoVAgQJ6U1MVXOaj8PK2l7WJ3RER9xtqwdhxkhw/edit?usp=sharing"",""อ่างทอง!J415"")"),0)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IFERROR(__xludf.DUMMYFUNCTION("IMPORTRANGE(""https://docs.google.com/spreadsheets/d/1SX6NBoVAgQJ6U1MVXOaj8PK2l7WJ3RER9xtqwdhxkhw/edit?usp=sharing"",""อ่างทอง!I416"")"),0)</f>
        <v>0</v>
      </c>
      <c r="J521" s="188">
        <f ca="1">IFERROR(__xludf.DUMMYFUNCTION("IMPORTRANGE(""https://docs.google.com/spreadsheets/d/1SX6NBoVAgQJ6U1MVXOaj8PK2l7WJ3RER9xtqwdhxkhw/edit?usp=sharing"",""อ่างทอง!J416"")"),0)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IFERROR(__xludf.DUMMYFUNCTION("IMPORTRANGE(""https://docs.google.com/spreadsheets/d/1SX6NBoVAgQJ6U1MVXOaj8PK2l7WJ3RER9xtqwdhxkhw/edit?usp=sharing"",""อ่างทอง!I417"")"),0)</f>
        <v>0</v>
      </c>
      <c r="J522" s="188">
        <f ca="1">IFERROR(__xludf.DUMMYFUNCTION("IMPORTRANGE(""https://docs.google.com/spreadsheets/d/1SX6NBoVAgQJ6U1MVXOaj8PK2l7WJ3RER9xtqwdhxkhw/edit?usp=sharing"",""อ่างทอง!J417"")"),0)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IFERROR(__xludf.DUMMYFUNCTION("IMPORTRANGE(""https://docs.google.com/spreadsheets/d/1SX6NBoVAgQJ6U1MVXOaj8PK2l7WJ3RER9xtqwdhxkhw/edit?usp=sharing"",""อ่างทอง!I418"")"),0)</f>
        <v>0</v>
      </c>
      <c r="J523" s="188">
        <f ca="1">IFERROR(__xludf.DUMMYFUNCTION("IMPORTRANGE(""https://docs.google.com/spreadsheets/d/1SX6NBoVAgQJ6U1MVXOaj8PK2l7WJ3RER9xtqwdhxkhw/edit?usp=sharing"",""อ่างทอง!J418"")"),0)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IFERROR(__xludf.DUMMYFUNCTION("IMPORTRANGE(""https://docs.google.com/spreadsheets/d/1SX6NBoVAgQJ6U1MVXOaj8PK2l7WJ3RER9xtqwdhxkhw/edit?usp=sharing"",""อ่างทอง!I419"")"),0)</f>
        <v>0</v>
      </c>
      <c r="J524" s="188">
        <f ca="1">IFERROR(__xludf.DUMMYFUNCTION("IMPORTRANGE(""https://docs.google.com/spreadsheets/d/1SX6NBoVAgQJ6U1MVXOaj8PK2l7WJ3RER9xtqwdhxkhw/edit?usp=sharing"",""อ่างทอง!J419"")"),0)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IFERROR(__xludf.DUMMYFUNCTION("IMPORTRANGE(""https://docs.google.com/spreadsheets/d/1SX6NBoVAgQJ6U1MVXOaj8PK2l7WJ3RER9xtqwdhxkhw/edit?usp=sharing"",""อ่างทอง!I420"")"),0)</f>
        <v>0</v>
      </c>
      <c r="J525" s="284">
        <f ca="1">IFERROR(__xludf.DUMMYFUNCTION("IMPORTRANGE(""https://docs.google.com/spreadsheets/d/1SX6NBoVAgQJ6U1MVXOaj8PK2l7WJ3RER9xtqwdhxkhw/edit?usp=sharing"",""อ่างทอง!J420"")"),0)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IFERROR(__xludf.DUMMYFUNCTION("IMPORTRANGE(""https://docs.google.com/spreadsheets/d/1SX6NBoVAgQJ6U1MVXOaj8PK2l7WJ3RER9xtqwdhxkhw/edit?usp=sharing"",""อ่างทอง!I421"")"),0)</f>
        <v>0</v>
      </c>
      <c r="J526" s="284">
        <f ca="1">IFERROR(__xludf.DUMMYFUNCTION("IMPORTRANGE(""https://docs.google.com/spreadsheets/d/1SX6NBoVAgQJ6U1MVXOaj8PK2l7WJ3RER9xtqwdhxkhw/edit?usp=sharing"",""อ่างทอง!J421"")"),0)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IFERROR(__xludf.DUMMYFUNCTION("IMPORTRANGE(""https://docs.google.com/spreadsheets/d/1SX6NBoVAgQJ6U1MVXOaj8PK2l7WJ3RER9xtqwdhxkhw/edit?usp=sharing"",""อ่างทอง!I422"")"),0)</f>
        <v>0</v>
      </c>
      <c r="J527" s="198">
        <f ca="1">IFERROR(__xludf.DUMMYFUNCTION("IMPORTRANGE(""https://docs.google.com/spreadsheets/d/1SX6NBoVAgQJ6U1MVXOaj8PK2l7WJ3RER9xtqwdhxkhw/edit?usp=sharing"",""อ่างทอง!J422"")"),0)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IFERROR(__xludf.DUMMYFUNCTION("IMPORTRANGE(""https://docs.google.com/spreadsheets/d/1SX6NBoVAgQJ6U1MVXOaj8PK2l7WJ3RER9xtqwdhxkhw/edit?usp=sharing"",""อ่างทอง!I423"")"),0)</f>
        <v>0</v>
      </c>
      <c r="J528" s="198">
        <f ca="1">IFERROR(__xludf.DUMMYFUNCTION("IMPORTRANGE(""https://docs.google.com/spreadsheets/d/1SX6NBoVAgQJ6U1MVXOaj8PK2l7WJ3RER9xtqwdhxkhw/edit?usp=sharing"",""อ่างทอง!J423"")"),0)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IFERROR(__xludf.DUMMYFUNCTION("IMPORTRANGE(""https://docs.google.com/spreadsheets/d/1SX6NBoVAgQJ6U1MVXOaj8PK2l7WJ3RER9xtqwdhxkhw/edit?usp=sharing"",""อ่างทอง!I424"")"),0)</f>
        <v>0</v>
      </c>
      <c r="J529" s="198">
        <f ca="1">IFERROR(__xludf.DUMMYFUNCTION("IMPORTRANGE(""https://docs.google.com/spreadsheets/d/1SX6NBoVAgQJ6U1MVXOaj8PK2l7WJ3RER9xtqwdhxkhw/edit?usp=sharing"",""อ่างทอง!J424"")"),0)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IFERROR(__xludf.DUMMYFUNCTION("IMPORTRANGE(""https://docs.google.com/spreadsheets/d/1SX6NBoVAgQJ6U1MVXOaj8PK2l7WJ3RER9xtqwdhxkhw/edit?usp=sharing"",""อ่างทอง!I425"")"),0)</f>
        <v>0</v>
      </c>
      <c r="J530" s="198">
        <f ca="1">IFERROR(__xludf.DUMMYFUNCTION("IMPORTRANGE(""https://docs.google.com/spreadsheets/d/1SX6NBoVAgQJ6U1MVXOaj8PK2l7WJ3RER9xtqwdhxkhw/edit?usp=sharing"",""อ่างทอง!J425"")"),0)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IFERROR(__xludf.DUMMYFUNCTION("IMPORTRANGE(""https://docs.google.com/spreadsheets/d/1SX6NBoVAgQJ6U1MVXOaj8PK2l7WJ3RER9xtqwdhxkhw/edit?usp=sharing"",""อ่างทอง!I426"")"),0)</f>
        <v>0</v>
      </c>
      <c r="J531" s="198">
        <f ca="1">IFERROR(__xludf.DUMMYFUNCTION("IMPORTRANGE(""https://docs.google.com/spreadsheets/d/1SX6NBoVAgQJ6U1MVXOaj8PK2l7WJ3RER9xtqwdhxkhw/edit?usp=sharing"",""อ่างทอง!J426"")"),0)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IFERROR(__xludf.DUMMYFUNCTION("IMPORTRANGE(""https://docs.google.com/spreadsheets/d/1SX6NBoVAgQJ6U1MVXOaj8PK2l7WJ3RER9xtqwdhxkhw/edit?usp=sharing"",""อ่างทอง!I427"")"),0)</f>
        <v>0</v>
      </c>
      <c r="J532" s="466">
        <f ca="1">IFERROR(__xludf.DUMMYFUNCTION("IMPORTRANGE(""https://docs.google.com/spreadsheets/d/1SX6NBoVAgQJ6U1MVXOaj8PK2l7WJ3RER9xtqwdhxkhw/edit?usp=sharing"",""อ่างทอง!J427"")"),0)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IFERROR(__xludf.DUMMYFUNCTION("IMPORTRANGE(""https://docs.google.com/spreadsheets/d/1SX6NBoVAgQJ6U1MVXOaj8PK2l7WJ3RER9xtqwdhxkhw/edit?usp=sharing"",""อ่างทอง!I428"")"),10)</f>
        <v>10</v>
      </c>
      <c r="J533" s="410">
        <f ca="1">IFERROR(__xludf.DUMMYFUNCTION("IMPORTRANGE(""https://docs.google.com/spreadsheets/d/1SX6NBoVAgQJ6U1MVXOaj8PK2l7WJ3RER9xtqwdhxkhw/edit?usp=sharing"",""อ่างทอง!J428"")"),10)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IFERROR(__xludf.DUMMYFUNCTION("IMPORTRANGE(""https://docs.google.com/spreadsheets/d/1SX6NBoVAgQJ6U1MVXOaj8PK2l7WJ3RER9xtqwdhxkhw/edit?usp=sharing"",""อ่างทอง!L428"")"),24140)</f>
        <v>24140</v>
      </c>
      <c r="M533" s="412"/>
      <c r="N533" s="412">
        <f ca="1">IFERROR(__xludf.DUMMYFUNCTION("IMPORTRANGE(""https://docs.google.com/spreadsheets/d/1SX6NBoVAgQJ6U1MVXOaj8PK2l7WJ3RER9xtqwdhxkhw/edit?usp=sharing"",""อ่างทอง!M428"")"),5990)</f>
        <v>5990</v>
      </c>
      <c r="O533" s="412">
        <f t="shared" ref="O533:O537" ca="1" si="118">+IF(L533&gt;0,N533*100/L533,0)</f>
        <v>24.813587406793705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IFERROR(__xludf.DUMMYFUNCTION("IMPORTRANGE(""https://docs.google.com/spreadsheets/d/1SX6NBoVAgQJ6U1MVXOaj8PK2l7WJ3RER9xtqwdhxkhw/edit?usp=sharing"",""อ่างทอง!L429"")"),0)</f>
        <v>0</v>
      </c>
      <c r="M534" s="164"/>
      <c r="N534" s="169">
        <f ca="1">IFERROR(__xludf.DUMMYFUNCTION("IMPORTRANGE(""https://docs.google.com/spreadsheets/d/1SX6NBoVAgQJ6U1MVXOaj8PK2l7WJ3RER9xtqwdhxkhw/edit?usp=sharing"",""อ่างทอง!M429"")"),0)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IFERROR(__xludf.DUMMYFUNCTION("IMPORTRANGE(""https://docs.google.com/spreadsheets/d/1SX6NBoVAgQJ6U1MVXOaj8PK2l7WJ3RER9xtqwdhxkhw/edit?usp=sharing"",""อ่างทอง!L430"")"),24140)</f>
        <v>24140</v>
      </c>
      <c r="M535" s="165"/>
      <c r="N535" s="169">
        <f ca="1">IFERROR(__xludf.DUMMYFUNCTION("IMPORTRANGE(""https://docs.google.com/spreadsheets/d/1SX6NBoVAgQJ6U1MVXOaj8PK2l7WJ3RER9xtqwdhxkhw/edit?usp=sharing"",""อ่างทอง!M430"")"),5990)</f>
        <v>5990</v>
      </c>
      <c r="O535" s="169">
        <f t="shared" ca="1" si="118"/>
        <v>24.813587406793705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IFERROR(__xludf.DUMMYFUNCTION("IMPORTRANGE(""https://docs.google.com/spreadsheets/d/1SX6NBoVAgQJ6U1MVXOaj8PK2l7WJ3RER9xtqwdhxkhw/edit?usp=sharing"",""อ่างทอง!L431"")"),0)</f>
        <v>0</v>
      </c>
      <c r="M536" s="169"/>
      <c r="N536" s="169">
        <f ca="1">IFERROR(__xludf.DUMMYFUNCTION("IMPORTRANGE(""https://docs.google.com/spreadsheets/d/1SX6NBoVAgQJ6U1MVXOaj8PK2l7WJ3RER9xtqwdhxkhw/edit?usp=sharing"",""อ่างทอง!M431"")"),0)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IFERROR(__xludf.DUMMYFUNCTION("IMPORTRANGE(""https://docs.google.com/spreadsheets/d/1SX6NBoVAgQJ6U1MVXOaj8PK2l7WJ3RER9xtqwdhxkhw/edit?usp=sharing"",""อ่างทอง!L432"")"),24140)</f>
        <v>24140</v>
      </c>
      <c r="M537" s="169"/>
      <c r="N537" s="169">
        <f ca="1">IFERROR(__xludf.DUMMYFUNCTION("IMPORTRANGE(""https://docs.google.com/spreadsheets/d/1SX6NBoVAgQJ6U1MVXOaj8PK2l7WJ3RER9xtqwdhxkhw/edit?usp=sharing"",""อ่างทอง!M432"")"),5990)</f>
        <v>5990</v>
      </c>
      <c r="O537" s="169">
        <f t="shared" ca="1" si="118"/>
        <v>24.813587406793705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IFERROR(__xludf.DUMMYFUNCTION("IMPORTRANGE(""https://docs.google.com/spreadsheets/d/1SX6NBoVAgQJ6U1MVXOaj8PK2l7WJ3RER9xtqwdhxkhw/edit?usp=sharing"",""อ่างทอง!M433"")"),5990)</f>
        <v>5990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IFERROR(__xludf.DUMMYFUNCTION("IMPORTRANGE(""https://docs.google.com/spreadsheets/d/1SX6NBoVAgQJ6U1MVXOaj8PK2l7WJ3RER9xtqwdhxkhw/edit?usp=sharing"",""อ่างทอง!M434"")"),0)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IFERROR(__xludf.DUMMYFUNCTION("IMPORTRANGE(""https://docs.google.com/spreadsheets/d/1SX6NBoVAgQJ6U1MVXOaj8PK2l7WJ3RER9xtqwdhxkhw/edit?usp=sharing"",""อ่างทอง!M435"")"),0)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IFERROR(__xludf.DUMMYFUNCTION("IMPORTRANGE(""https://docs.google.com/spreadsheets/d/1SX6NBoVAgQJ6U1MVXOaj8PK2l7WJ3RER9xtqwdhxkhw/edit?usp=sharing"",""อ่างทอง!M436"")"),0)</f>
        <v>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IFERROR(__xludf.DUMMYFUNCTION("IMPORTRANGE(""https://docs.google.com/spreadsheets/d/1SX6NBoVAgQJ6U1MVXOaj8PK2l7WJ3RER9xtqwdhxkhw/edit?usp=sharing"",""อ่างทอง!J438"")"),0)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IFERROR(__xludf.DUMMYFUNCTION("IMPORTRANGE(""https://docs.google.com/spreadsheets/d/1SX6NBoVAgQJ6U1MVXOaj8PK2l7WJ3RER9xtqwdhxkhw/edit?usp=sharing"",""อ่างทอง!J439"")"),1)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IFERROR(__xludf.DUMMYFUNCTION("IMPORTRANGE(""https://docs.google.com/spreadsheets/d/1SX6NBoVAgQJ6U1MVXOaj8PK2l7WJ3RER9xtqwdhxkhw/edit?usp=sharing"",""อ่างทอง!J440"")"),1)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IFERROR(__xludf.DUMMYFUNCTION("IMPORTRANGE(""https://docs.google.com/spreadsheets/d/1SX6NBoVAgQJ6U1MVXOaj8PK2l7WJ3RER9xtqwdhxkhw/edit?usp=sharing"",""อ่างทอง!J441"")"),1)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IFERROR(__xludf.DUMMYFUNCTION("IMPORTRANGE(""https://docs.google.com/spreadsheets/d/1SX6NBoVAgQJ6U1MVXOaj8PK2l7WJ3RER9xtqwdhxkhw/edit?usp=sharing"",""อ่างทอง!I442"")"),10)</f>
        <v>10</v>
      </c>
      <c r="J547" s="189">
        <f ca="1">IFERROR(__xludf.DUMMYFUNCTION("IMPORTRANGE(""https://docs.google.com/spreadsheets/d/1SX6NBoVAgQJ6U1MVXOaj8PK2l7WJ3RER9xtqwdhxkhw/edit?usp=sharing"",""อ่างทอง!J442"")"),10)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IFERROR(__xludf.DUMMYFUNCTION("IMPORTRANGE(""https://docs.google.com/spreadsheets/d/1SX6NBoVAgQJ6U1MVXOaj8PK2l7WJ3RER9xtqwdhxkhw/edit?usp=sharing"",""อ่างทอง!J166"")"),0)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IFERROR(__xludf.DUMMYFUNCTION("IMPORTRANGE(""https://docs.google.com/spreadsheets/d/1SX6NBoVAgQJ6U1MVXOaj8PK2l7WJ3RER9xtqwdhxkhw/edit?usp=sharing"",""อ่างทอง!J444"")"),0)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IFERROR(__xludf.DUMMYFUNCTION("IMPORTRANGE(""https://docs.google.com/spreadsheets/d/1SX6NBoVAgQJ6U1MVXOaj8PK2l7WJ3RER9xtqwdhxkhw/edit?usp=sharing"",""อ่างทอง!J445"")"),0)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IFERROR(__xludf.DUMMYFUNCTION("IMPORTRANGE(""https://docs.google.com/spreadsheets/d/1SX6NBoVAgQJ6U1MVXOaj8PK2l7WJ3RER9xtqwdhxkhw/edit?usp=sharing"",""อ่างทอง!I446"")"),0)</f>
        <v>0</v>
      </c>
      <c r="J551" s="410">
        <f ca="1">IFERROR(__xludf.DUMMYFUNCTION("IMPORTRANGE(""https://docs.google.com/spreadsheets/d/1SX6NBoVAgQJ6U1MVXOaj8PK2l7WJ3RER9xtqwdhxkhw/edit?usp=sharing"",""อ่างทอง!J446"")"),0)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IFERROR(__xludf.DUMMYFUNCTION("IMPORTRANGE(""https://docs.google.com/spreadsheets/d/1SX6NBoVAgQJ6U1MVXOaj8PK2l7WJ3RER9xtqwdhxkhw/edit?usp=sharing"",""อ่างทอง!L446"")"),0)</f>
        <v>0</v>
      </c>
      <c r="M551" s="412"/>
      <c r="N551" s="412">
        <f ca="1">IFERROR(__xludf.DUMMYFUNCTION("IMPORTRANGE(""https://docs.google.com/spreadsheets/d/1SX6NBoVAgQJ6U1MVXOaj8PK2l7WJ3RER9xtqwdhxkhw/edit?usp=sharing"",""อ่างทอง!M446"")"),0)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IFERROR(__xludf.DUMMYFUNCTION("IMPORTRANGE(""https://docs.google.com/spreadsheets/d/1SX6NBoVAgQJ6U1MVXOaj8PK2l7WJ3RER9xtqwdhxkhw/edit?usp=sharing"",""อ่างทอง!L447"")"),0)</f>
        <v>0</v>
      </c>
      <c r="M552" s="164"/>
      <c r="N552" s="169">
        <f ca="1">IFERROR(__xludf.DUMMYFUNCTION("IMPORTRANGE(""https://docs.google.com/spreadsheets/d/1SX6NBoVAgQJ6U1MVXOaj8PK2l7WJ3RER9xtqwdhxkhw/edit?usp=sharing"",""อ่างทอง!M447"")"),0)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IFERROR(__xludf.DUMMYFUNCTION("IMPORTRANGE(""https://docs.google.com/spreadsheets/d/1SX6NBoVAgQJ6U1MVXOaj8PK2l7WJ3RER9xtqwdhxkhw/edit?usp=sharing"",""อ่างทอง!L448"")"),0)</f>
        <v>0</v>
      </c>
      <c r="M553" s="165"/>
      <c r="N553" s="169">
        <f ca="1">IFERROR(__xludf.DUMMYFUNCTION("IMPORTRANGE(""https://docs.google.com/spreadsheets/d/1SX6NBoVAgQJ6U1MVXOaj8PK2l7WJ3RER9xtqwdhxkhw/edit?usp=sharing"",""อ่างทอง!M448"")"),0)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IFERROR(__xludf.DUMMYFUNCTION("IMPORTRANGE(""https://docs.google.com/spreadsheets/d/1SX6NBoVAgQJ6U1MVXOaj8PK2l7WJ3RER9xtqwdhxkhw/edit?usp=sharing"",""อ่างทอง!L449"")"),0)</f>
        <v>0</v>
      </c>
      <c r="M554" s="169"/>
      <c r="N554" s="169">
        <f ca="1">IFERROR(__xludf.DUMMYFUNCTION("IMPORTRANGE(""https://docs.google.com/spreadsheets/d/1SX6NBoVAgQJ6U1MVXOaj8PK2l7WJ3RER9xtqwdhxkhw/edit?usp=sharing"",""อ่างทอง!M449"")"),0)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IFERROR(__xludf.DUMMYFUNCTION("IMPORTRANGE(""https://docs.google.com/spreadsheets/d/1SX6NBoVAgQJ6U1MVXOaj8PK2l7WJ3RER9xtqwdhxkhw/edit?usp=sharing"",""อ่างทอง!L450"")"),0)</f>
        <v>0</v>
      </c>
      <c r="M555" s="169"/>
      <c r="N555" s="169">
        <f ca="1">IFERROR(__xludf.DUMMYFUNCTION("IMPORTRANGE(""https://docs.google.com/spreadsheets/d/1SX6NBoVAgQJ6U1MVXOaj8PK2l7WJ3RER9xtqwdhxkhw/edit?usp=sharing"",""อ่างทอง!M450"")"),0)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IFERROR(__xludf.DUMMYFUNCTION("IMPORTRANGE(""https://docs.google.com/spreadsheets/d/1SX6NBoVAgQJ6U1MVXOaj8PK2l7WJ3RER9xtqwdhxkhw/edit?usp=sharing"",""อ่างทอง!M451"")"),0)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IFERROR(__xludf.DUMMYFUNCTION("IMPORTRANGE(""https://docs.google.com/spreadsheets/d/1SX6NBoVAgQJ6U1MVXOaj8PK2l7WJ3RER9xtqwdhxkhw/edit?usp=sharing"",""อ่างทอง!M452"")"),0)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IFERROR(__xludf.DUMMYFUNCTION("IMPORTRANGE(""https://docs.google.com/spreadsheets/d/1SX6NBoVAgQJ6U1MVXOaj8PK2l7WJ3RER9xtqwdhxkhw/edit?usp=sharing"",""อ่างทอง!M453"")"),0)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IFERROR(__xludf.DUMMYFUNCTION("IMPORTRANGE(""https://docs.google.com/spreadsheets/d/1SX6NBoVAgQJ6U1MVXOaj8PK2l7WJ3RER9xtqwdhxkhw/edit?usp=sharing"",""อ่างทอง!M454"")"),0)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IFERROR(__xludf.DUMMYFUNCTION("IMPORTRANGE(""https://docs.google.com/spreadsheets/d/1SX6NBoVAgQJ6U1MVXOaj8PK2l7WJ3RER9xtqwdhxkhw/edit?usp=sharing"",""อ่างทอง!I455"")"),0)</f>
        <v>0</v>
      </c>
      <c r="J560" s="162">
        <f ca="1">IFERROR(__xludf.DUMMYFUNCTION("IMPORTRANGE(""https://docs.google.com/spreadsheets/d/1SX6NBoVAgQJ6U1MVXOaj8PK2l7WJ3RER9xtqwdhxkhw/edit?usp=sharing"",""อ่างทอง!J455"")"),0)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IFERROR(__xludf.DUMMYFUNCTION("IMPORTRANGE(""https://docs.google.com/spreadsheets/d/1SX6NBoVAgQJ6U1MVXOaj8PK2l7WJ3RER9xtqwdhxkhw/edit?usp=sharing"",""อ่างทอง!I456"")"),0)</f>
        <v>0</v>
      </c>
      <c r="J561" s="204">
        <f ca="1">IFERROR(__xludf.DUMMYFUNCTION("IMPORTRANGE(""https://docs.google.com/spreadsheets/d/1SX6NBoVAgQJ6U1MVXOaj8PK2l7WJ3RER9xtqwdhxkhw/edit?usp=sharing"",""อ่างทอง!J456"")"),0)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IFERROR(__xludf.DUMMYFUNCTION("IMPORTRANGE(""https://docs.google.com/spreadsheets/d/1SX6NBoVAgQJ6U1MVXOaj8PK2l7WJ3RER9xtqwdhxkhw/edit?usp=sharing"",""อ่างทอง!I459"")"),20)</f>
        <v>20</v>
      </c>
      <c r="J564" s="371">
        <f ca="1">IFERROR(__xludf.DUMMYFUNCTION("IMPORTRANGE(""https://docs.google.com/spreadsheets/d/1SX6NBoVAgQJ6U1MVXOaj8PK2l7WJ3RER9xtqwdhxkhw/edit?usp=sharing"",""อ่างทอง!J459"")"),30)</f>
        <v>30</v>
      </c>
      <c r="K564" s="372">
        <f ca="1">IF(I564&gt;0,J564*100/I564,0)</f>
        <v>150</v>
      </c>
      <c r="L564" s="373">
        <f ca="1">IFERROR(__xludf.DUMMYFUNCTION("IMPORTRANGE(""https://docs.google.com/spreadsheets/d/1SX6NBoVAgQJ6U1MVXOaj8PK2l7WJ3RER9xtqwdhxkhw/edit?usp=sharing"",""อ่างทอง!L459"")"),117840)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IFERROR(__xludf.DUMMYFUNCTION("IMPORTRANGE(""https://docs.google.com/spreadsheets/d/1SX6NBoVAgQJ6U1MVXOaj8PK2l7WJ3RER9xtqwdhxkhw/edit?usp=sharing"",""อ่างทอง!M459"")"),45992)</f>
        <v>45992</v>
      </c>
      <c r="O564" s="373">
        <f t="shared" ref="O564:O568" ca="1" si="122">+IF(L564&gt;0,N564*100/L564,0)</f>
        <v>39.029192124915141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IFERROR(__xludf.DUMMYFUNCTION("IMPORTRANGE(""https://docs.google.com/spreadsheets/d/1SX6NBoVAgQJ6U1MVXOaj8PK2l7WJ3RER9xtqwdhxkhw/edit?usp=sharing"",""อ่างทอง!L460"")"),0)</f>
        <v>0</v>
      </c>
      <c r="M565" s="164"/>
      <c r="N565" s="169">
        <f ca="1">IFERROR(__xludf.DUMMYFUNCTION("IMPORTRANGE(""https://docs.google.com/spreadsheets/d/1SX6NBoVAgQJ6U1MVXOaj8PK2l7WJ3RER9xtqwdhxkhw/edit?usp=sharing"",""อ่างทอง!M460"")"),0)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IFERROR(__xludf.DUMMYFUNCTION("IMPORTRANGE(""https://docs.google.com/spreadsheets/d/1SX6NBoVAgQJ6U1MVXOaj8PK2l7WJ3RER9xtqwdhxkhw/edit?usp=sharing"",""อ่างทอง!L461"")"),117840)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IFERROR(__xludf.DUMMYFUNCTION("IMPORTRANGE(""https://docs.google.com/spreadsheets/d/1SX6NBoVAgQJ6U1MVXOaj8PK2l7WJ3RER9xtqwdhxkhw/edit?usp=sharing"",""อ่างทอง!M461"")"),45992)</f>
        <v>45992</v>
      </c>
      <c r="O566" s="169">
        <f t="shared" ca="1" si="122"/>
        <v>39.029192124915141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IFERROR(__xludf.DUMMYFUNCTION("IMPORTRANGE(""https://docs.google.com/spreadsheets/d/1SX6NBoVAgQJ6U1MVXOaj8PK2l7WJ3RER9xtqwdhxkhw/edit?usp=sharing"",""อ่างทอง!L462"")"),0)</f>
        <v>0</v>
      </c>
      <c r="M567" s="169"/>
      <c r="N567" s="169">
        <f ca="1">IFERROR(__xludf.DUMMYFUNCTION("IMPORTRANGE(""https://docs.google.com/spreadsheets/d/1SX6NBoVAgQJ6U1MVXOaj8PK2l7WJ3RER9xtqwdhxkhw/edit?usp=sharing"",""อ่างทอง!M462"")"),0)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IFERROR(__xludf.DUMMYFUNCTION("IMPORTRANGE(""https://docs.google.com/spreadsheets/d/1SX6NBoVAgQJ6U1MVXOaj8PK2l7WJ3RER9xtqwdhxkhw/edit?usp=sharing"",""อ่างทอง!L463"")"),117840)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IFERROR(__xludf.DUMMYFUNCTION("IMPORTRANGE(""https://docs.google.com/spreadsheets/d/1SX6NBoVAgQJ6U1MVXOaj8PK2l7WJ3RER9xtqwdhxkhw/edit?usp=sharing"",""อ่างทอง!M463"")"),45992)</f>
        <v>45992</v>
      </c>
      <c r="O568" s="169">
        <f t="shared" ca="1" si="122"/>
        <v>39.029192124915141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IFERROR(__xludf.DUMMYFUNCTION("IMPORTRANGE(""https://docs.google.com/spreadsheets/d/1SX6NBoVAgQJ6U1MVXOaj8PK2l7WJ3RER9xtqwdhxkhw/edit?usp=sharing"",""อ่างทอง!M464"")"),0)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IFERROR(__xludf.DUMMYFUNCTION("IMPORTRANGE(""https://docs.google.com/spreadsheets/d/1SX6NBoVAgQJ6U1MVXOaj8PK2l7WJ3RER9xtqwdhxkhw/edit?usp=sharing"",""อ่างทอง!M465"")"),0)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IFERROR(__xludf.DUMMYFUNCTION("IMPORTRANGE(""https://docs.google.com/spreadsheets/d/1SX6NBoVAgQJ6U1MVXOaj8PK2l7WJ3RER9xtqwdhxkhw/edit?usp=sharing"",""อ่างทอง!M466"")"),45992)</f>
        <v>45992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IFERROR(__xludf.DUMMYFUNCTION("IMPORTRANGE(""https://docs.google.com/spreadsheets/d/1SX6NBoVAgQJ6U1MVXOaj8PK2l7WJ3RER9xtqwdhxkhw/edit?usp=sharing"",""อ่างทอง!M467"")"),0)</f>
        <v>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IFERROR(__xludf.DUMMYFUNCTION("IMPORTRANGE(""https://docs.google.com/spreadsheets/d/1SX6NBoVAgQJ6U1MVXOaj8PK2l7WJ3RER9xtqwdhxkhw/edit?usp=sharing"",""อ่างทอง!I468"")"),20)</f>
        <v>20</v>
      </c>
      <c r="J573" s="420">
        <f ca="1">IFERROR(__xludf.DUMMYFUNCTION("IMPORTRANGE(""https://docs.google.com/spreadsheets/d/1SX6NBoVAgQJ6U1MVXOaj8PK2l7WJ3RER9xtqwdhxkhw/edit?usp=sharing"",""อ่างทอง!J468"")"),30)</f>
        <v>30</v>
      </c>
      <c r="K573" s="202">
        <f ca="1">IF(I573&gt;0,J573*100/I573,0)</f>
        <v>150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IFERROR(__xludf.DUMMYFUNCTION("IMPORTRANGE(""https://docs.google.com/spreadsheets/d/1SX6NBoVAgQJ6U1MVXOaj8PK2l7WJ3RER9xtqwdhxkhw/edit?usp=sharing"",""อ่างทอง!I470"")"),0)</f>
        <v>0</v>
      </c>
      <c r="J575" s="198">
        <f ca="1">IFERROR(__xludf.DUMMYFUNCTION("IMPORTRANGE(""https://docs.google.com/spreadsheets/d/1SX6NBoVAgQJ6U1MVXOaj8PK2l7WJ3RER9xtqwdhxkhw/edit?usp=sharing"",""อ่างทอง!J470"")"),1)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IFERROR(__xludf.DUMMYFUNCTION("IMPORTRANGE(""https://docs.google.com/spreadsheets/d/1SX6NBoVAgQJ6U1MVXOaj8PK2l7WJ3RER9xtqwdhxkhw/edit?usp=sharing"",""อ่างทอง!I471"")"),0)</f>
        <v>0</v>
      </c>
      <c r="J576" s="198">
        <f ca="1">IFERROR(__xludf.DUMMYFUNCTION("IMPORTRANGE(""https://docs.google.com/spreadsheets/d/1SX6NBoVAgQJ6U1MVXOaj8PK2l7WJ3RER9xtqwdhxkhw/edit?usp=sharing"",""อ่างทอง!J471"")"),15)</f>
        <v>15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IFERROR(__xludf.DUMMYFUNCTION("IMPORTRANGE(""https://docs.google.com/spreadsheets/d/1SX6NBoVAgQJ6U1MVXOaj8PK2l7WJ3RER9xtqwdhxkhw/edit?usp=sharing"",""อ่างทอง!I472"")"),0)</f>
        <v>0</v>
      </c>
      <c r="J577" s="189">
        <f ca="1">IFERROR(__xludf.DUMMYFUNCTION("IMPORTRANGE(""https://docs.google.com/spreadsheets/d/1SX6NBoVAgQJ6U1MVXOaj8PK2l7WJ3RER9xtqwdhxkhw/edit?usp=sharing"",""อ่างทอง!J472"")"),15)</f>
        <v>15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IFERROR(__xludf.DUMMYFUNCTION("IMPORTRANGE(""https://docs.google.com/spreadsheets/d/1SX6NBoVAgQJ6U1MVXOaj8PK2l7WJ3RER9xtqwdhxkhw/edit?usp=sharing"",""อ่างทอง!I473"")"),0)</f>
        <v>0</v>
      </c>
      <c r="J578" s="198">
        <f ca="1">IFERROR(__xludf.DUMMYFUNCTION("IMPORTRANGE(""https://docs.google.com/spreadsheets/d/1SX6NBoVAgQJ6U1MVXOaj8PK2l7WJ3RER9xtqwdhxkhw/edit?usp=sharing"",""อ่างทอง!J473"")"),0)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IFERROR(__xludf.DUMMYFUNCTION("IMPORTRANGE(""https://docs.google.com/spreadsheets/d/1SX6NBoVAgQJ6U1MVXOaj8PK2l7WJ3RER9xtqwdhxkhw/edit?usp=sharing"",""อ่างทอง!I474"")"),0)</f>
        <v>0</v>
      </c>
      <c r="J579" s="198">
        <f ca="1">IFERROR(__xludf.DUMMYFUNCTION("IMPORTRANGE(""https://docs.google.com/spreadsheets/d/1SX6NBoVAgQJ6U1MVXOaj8PK2l7WJ3RER9xtqwdhxkhw/edit?usp=sharing"",""อ่างทอง!J474"")"),0)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IFERROR(__xludf.DUMMYFUNCTION("IMPORTRANGE(""https://docs.google.com/spreadsheets/d/1SX6NBoVAgQJ6U1MVXOaj8PK2l7WJ3RER9xtqwdhxkhw/edit?usp=sharing"",""อ่างทอง!I475"")"),0)</f>
        <v>0</v>
      </c>
      <c r="J580" s="371">
        <f ca="1">IFERROR(__xludf.DUMMYFUNCTION("IMPORTRANGE(""https://docs.google.com/spreadsheets/d/1SX6NBoVAgQJ6U1MVXOaj8PK2l7WJ3RER9xtqwdhxkhw/edit?usp=sharing"",""อ่างทอง!J475"")"),0)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IFERROR(__xludf.DUMMYFUNCTION("IMPORTRANGE(""https://docs.google.com/spreadsheets/d/1SX6NBoVAgQJ6U1MVXOaj8PK2l7WJ3RER9xtqwdhxkhw/edit?usp=sharing"",""อ่างทอง!L475"")"),0)</f>
        <v>0</v>
      </c>
      <c r="M580" s="373"/>
      <c r="N580" s="373">
        <f ca="1">IFERROR(__xludf.DUMMYFUNCTION("IMPORTRANGE(""https://docs.google.com/spreadsheets/d/1SX6NBoVAgQJ6U1MVXOaj8PK2l7WJ3RER9xtqwdhxkhw/edit?usp=sharing"",""อ่างทอง!M475"")"),0)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IFERROR(__xludf.DUMMYFUNCTION("IMPORTRANGE(""https://docs.google.com/spreadsheets/d/1SX6NBoVAgQJ6U1MVXOaj8PK2l7WJ3RER9xtqwdhxkhw/edit?usp=sharing"",""อ่างทอง!L476"")"),0)</f>
        <v>0</v>
      </c>
      <c r="M581" s="164"/>
      <c r="N581" s="169">
        <f ca="1">IFERROR(__xludf.DUMMYFUNCTION("IMPORTRANGE(""https://docs.google.com/spreadsheets/d/1SX6NBoVAgQJ6U1MVXOaj8PK2l7WJ3RER9xtqwdhxkhw/edit?usp=sharing"",""อ่างทอง!M476"")"),0)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IFERROR(__xludf.DUMMYFUNCTION("IMPORTRANGE(""https://docs.google.com/spreadsheets/d/1SX6NBoVAgQJ6U1MVXOaj8PK2l7WJ3RER9xtqwdhxkhw/edit?usp=sharing"",""อ่างทอง!L477"")"),0)</f>
        <v>0</v>
      </c>
      <c r="M582" s="165"/>
      <c r="N582" s="169">
        <f ca="1">IFERROR(__xludf.DUMMYFUNCTION("IMPORTRANGE(""https://docs.google.com/spreadsheets/d/1SX6NBoVAgQJ6U1MVXOaj8PK2l7WJ3RER9xtqwdhxkhw/edit?usp=sharing"",""อ่างทอง!M477"")"),0)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IFERROR(__xludf.DUMMYFUNCTION("IMPORTRANGE(""https://docs.google.com/spreadsheets/d/1SX6NBoVAgQJ6U1MVXOaj8PK2l7WJ3RER9xtqwdhxkhw/edit?usp=sharing"",""อ่างทอง!L478"")"),0)</f>
        <v>0</v>
      </c>
      <c r="M583" s="169"/>
      <c r="N583" s="169">
        <f ca="1">IFERROR(__xludf.DUMMYFUNCTION("IMPORTRANGE(""https://docs.google.com/spreadsheets/d/1SX6NBoVAgQJ6U1MVXOaj8PK2l7WJ3RER9xtqwdhxkhw/edit?usp=sharing"",""อ่างทอง!M478"")"),0)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IFERROR(__xludf.DUMMYFUNCTION("IMPORTRANGE(""https://docs.google.com/spreadsheets/d/1SX6NBoVAgQJ6U1MVXOaj8PK2l7WJ3RER9xtqwdhxkhw/edit?usp=sharing"",""อ่างทอง!L479"")"),0)</f>
        <v>0</v>
      </c>
      <c r="M584" s="169"/>
      <c r="N584" s="169">
        <f ca="1">IFERROR(__xludf.DUMMYFUNCTION("IMPORTRANGE(""https://docs.google.com/spreadsheets/d/1SX6NBoVAgQJ6U1MVXOaj8PK2l7WJ3RER9xtqwdhxkhw/edit?usp=sharing"",""อ่างทอง!M479"")"),0)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IFERROR(__xludf.DUMMYFUNCTION("IMPORTRANGE(""https://docs.google.com/spreadsheets/d/1SX6NBoVAgQJ6U1MVXOaj8PK2l7WJ3RER9xtqwdhxkhw/edit?usp=sharing"",""อ่างทอง!M480"")"),0)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IFERROR(__xludf.DUMMYFUNCTION("IMPORTRANGE(""https://docs.google.com/spreadsheets/d/1SX6NBoVAgQJ6U1MVXOaj8PK2l7WJ3RER9xtqwdhxkhw/edit?usp=sharing"",""อ่างทอง!M481"")"),0)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IFERROR(__xludf.DUMMYFUNCTION("IMPORTRANGE(""https://docs.google.com/spreadsheets/d/1SX6NBoVAgQJ6U1MVXOaj8PK2l7WJ3RER9xtqwdhxkhw/edit?usp=sharing"",""อ่างทอง!M482"")"),0)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IFERROR(__xludf.DUMMYFUNCTION("IMPORTRANGE(""https://docs.google.com/spreadsheets/d/1SX6NBoVAgQJ6U1MVXOaj8PK2l7WJ3RER9xtqwdhxkhw/edit?usp=sharing"",""อ่างทอง!M483"")"),0)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IFERROR(__xludf.DUMMYFUNCTION("IMPORTRANGE(""https://docs.google.com/spreadsheets/d/1SX6NBoVAgQJ6U1MVXOaj8PK2l7WJ3RER9xtqwdhxkhw/edit?usp=sharing"",""อ่างทอง!I484"")"),0)</f>
        <v>0</v>
      </c>
      <c r="J589" s="188">
        <f ca="1">IFERROR(__xludf.DUMMYFUNCTION("IMPORTRANGE(""https://docs.google.com/spreadsheets/d/1SX6NBoVAgQJ6U1MVXOaj8PK2l7WJ3RER9xtqwdhxkhw/edit?usp=sharing"",""อ่างทอง!J484"")"),0)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IFERROR(__xludf.DUMMYFUNCTION("IMPORTRANGE(""https://docs.google.com/spreadsheets/d/1SX6NBoVAgQJ6U1MVXOaj8PK2l7WJ3RER9xtqwdhxkhw/edit?usp=sharing"",""อ่างทอง!I485"")"),0)</f>
        <v>0</v>
      </c>
      <c r="J590" s="188">
        <f ca="1">IFERROR(__xludf.DUMMYFUNCTION("IMPORTRANGE(""https://docs.google.com/spreadsheets/d/1SX6NBoVAgQJ6U1MVXOaj8PK2l7WJ3RER9xtqwdhxkhw/edit?usp=sharing"",""อ่างทอง!J485"")"),0)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IFERROR(__xludf.DUMMYFUNCTION("IMPORTRANGE(""https://docs.google.com/spreadsheets/d/1SX6NBoVAgQJ6U1MVXOaj8PK2l7WJ3RER9xtqwdhxkhw/edit?usp=sharing"",""อ่างทอง!I486"")"),0)</f>
        <v>0</v>
      </c>
      <c r="J591" s="188">
        <f ca="1">IFERROR(__xludf.DUMMYFUNCTION("IMPORTRANGE(""https://docs.google.com/spreadsheets/d/1SX6NBoVAgQJ6U1MVXOaj8PK2l7WJ3RER9xtqwdhxkhw/edit?usp=sharing"",""อ่างทอง!J486"")"),0)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IFERROR(__xludf.DUMMYFUNCTION("IMPORTRANGE(""https://docs.google.com/spreadsheets/d/1SX6NBoVAgQJ6U1MVXOaj8PK2l7WJ3RER9xtqwdhxkhw/edit?usp=sharing"",""อ่างทอง!I487"")"),0)</f>
        <v>0</v>
      </c>
      <c r="J592" s="188">
        <f ca="1">IFERROR(__xludf.DUMMYFUNCTION("IMPORTRANGE(""https://docs.google.com/spreadsheets/d/1SX6NBoVAgQJ6U1MVXOaj8PK2l7WJ3RER9xtqwdhxkhw/edit?usp=sharing"",""อ่างทอง!J487"")"),0)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IFERROR(__xludf.DUMMYFUNCTION("IMPORTRANGE(""https://docs.google.com/spreadsheets/d/1SX6NBoVAgQJ6U1MVXOaj8PK2l7WJ3RER9xtqwdhxkhw/edit?usp=sharing"",""อ่างทอง!I488"")"),0)</f>
        <v>0</v>
      </c>
      <c r="J593" s="188">
        <f ca="1">IFERROR(__xludf.DUMMYFUNCTION("IMPORTRANGE(""https://docs.google.com/spreadsheets/d/1SX6NBoVAgQJ6U1MVXOaj8PK2l7WJ3RER9xtqwdhxkhw/edit?usp=sharing"",""อ่างทอง!J488"")"),0)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IFERROR(__xludf.DUMMYFUNCTION("IMPORTRANGE(""https://docs.google.com/spreadsheets/d/1SX6NBoVAgQJ6U1MVXOaj8PK2l7WJ3RER9xtqwdhxkhw/edit?usp=sharing"",""อ่างทอง!I489"")"),0)</f>
        <v>0</v>
      </c>
      <c r="J594" s="188">
        <f ca="1">IFERROR(__xludf.DUMMYFUNCTION("IMPORTRANGE(""https://docs.google.com/spreadsheets/d/1SX6NBoVAgQJ6U1MVXOaj8PK2l7WJ3RER9xtqwdhxkhw/edit?usp=sharing"",""อ่างทอง!J489"")"),0)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IFERROR(__xludf.DUMMYFUNCTION("IMPORTRANGE(""https://docs.google.com/spreadsheets/d/1SX6NBoVAgQJ6U1MVXOaj8PK2l7WJ3RER9xtqwdhxkhw/edit?usp=sharing"",""อ่างทอง!I490"")"),0)</f>
        <v>0</v>
      </c>
      <c r="J595" s="188">
        <f ca="1">IFERROR(__xludf.DUMMYFUNCTION("IMPORTRANGE(""https://docs.google.com/spreadsheets/d/1SX6NBoVAgQJ6U1MVXOaj8PK2l7WJ3RER9xtqwdhxkhw/edit?usp=sharing"",""อ่างทอง!J490"")"),0)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IFERROR(__xludf.DUMMYFUNCTION("IMPORTRANGE(""https://docs.google.com/spreadsheets/d/1SX6NBoVAgQJ6U1MVXOaj8PK2l7WJ3RER9xtqwdhxkhw/edit?usp=sharing"",""อ่างทอง!I491"")"),0)</f>
        <v>0</v>
      </c>
      <c r="J596" s="241">
        <f ca="1">IFERROR(__xludf.DUMMYFUNCTION("IMPORTRANGE(""https://docs.google.com/spreadsheets/d/1SX6NBoVAgQJ6U1MVXOaj8PK2l7WJ3RER9xtqwdhxkhw/edit?usp=sharing"",""อ่างทอง!J491"")"),0)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IFERROR(__xludf.DUMMYFUNCTION("IMPORTRANGE(""https://docs.google.com/spreadsheets/d/1SX6NBoVAgQJ6U1MVXOaj8PK2l7WJ3RER9xtqwdhxkhw/edit?usp=sharing"",""อ่างทอง!I492"")"),80)</f>
        <v>80</v>
      </c>
      <c r="J597" s="487">
        <f ca="1">IFERROR(__xludf.DUMMYFUNCTION("IMPORTRANGE(""https://docs.google.com/spreadsheets/d/1SX6NBoVAgQJ6U1MVXOaj8PK2l7WJ3RER9xtqwdhxkhw/edit?usp=sharing"",""อ่างทอง!J492"")"),0)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IFERROR(__xludf.DUMMYFUNCTION("IMPORTRANGE(""https://docs.google.com/spreadsheets/d/1SX6NBoVAgQJ6U1MVXOaj8PK2l7WJ3RER9xtqwdhxkhw/edit?usp=sharing"",""อ่างทอง!L492"")"),10800)</f>
        <v>10800</v>
      </c>
      <c r="M597" s="412"/>
      <c r="N597" s="412">
        <f ca="1">IFERROR(__xludf.DUMMYFUNCTION("IMPORTRANGE(""https://docs.google.com/spreadsheets/d/1SX6NBoVAgQJ6U1MVXOaj8PK2l7WJ3RER9xtqwdhxkhw/edit?usp=sharing"",""อ่างทอง!M492"")"),1170)</f>
        <v>1170</v>
      </c>
      <c r="O597" s="412">
        <f t="shared" ref="O597:O601" ca="1" si="126">+IF(L597&gt;0,N597*100/L597,0)</f>
        <v>10.833333333333334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IFERROR(__xludf.DUMMYFUNCTION("IMPORTRANGE(""https://docs.google.com/spreadsheets/d/1SX6NBoVAgQJ6U1MVXOaj8PK2l7WJ3RER9xtqwdhxkhw/edit?usp=sharing"",""อ่างทอง!L493"")"),0)</f>
        <v>0</v>
      </c>
      <c r="M598" s="164"/>
      <c r="N598" s="169">
        <f ca="1">IFERROR(__xludf.DUMMYFUNCTION("IMPORTRANGE(""https://docs.google.com/spreadsheets/d/1SX6NBoVAgQJ6U1MVXOaj8PK2l7WJ3RER9xtqwdhxkhw/edit?usp=sharing"",""อ่างทอง!M493"")"),0)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IFERROR(__xludf.DUMMYFUNCTION("IMPORTRANGE(""https://docs.google.com/spreadsheets/d/1SX6NBoVAgQJ6U1MVXOaj8PK2l7WJ3RER9xtqwdhxkhw/edit?usp=sharing"",""อ่างทอง!L494"")"),10800)</f>
        <v>10800</v>
      </c>
      <c r="M599" s="165"/>
      <c r="N599" s="169">
        <f ca="1">IFERROR(__xludf.DUMMYFUNCTION("IMPORTRANGE(""https://docs.google.com/spreadsheets/d/1SX6NBoVAgQJ6U1MVXOaj8PK2l7WJ3RER9xtqwdhxkhw/edit?usp=sharing"",""อ่างทอง!M494"")"),1170)</f>
        <v>1170</v>
      </c>
      <c r="O599" s="169">
        <f t="shared" ca="1" si="126"/>
        <v>10.833333333333334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IFERROR(__xludf.DUMMYFUNCTION("IMPORTRANGE(""https://docs.google.com/spreadsheets/d/1SX6NBoVAgQJ6U1MVXOaj8PK2l7WJ3RER9xtqwdhxkhw/edit?usp=sharing"",""อ่างทอง!L495"")"),0)</f>
        <v>0</v>
      </c>
      <c r="M600" s="169"/>
      <c r="N600" s="169">
        <f ca="1">IFERROR(__xludf.DUMMYFUNCTION("IMPORTRANGE(""https://docs.google.com/spreadsheets/d/1SX6NBoVAgQJ6U1MVXOaj8PK2l7WJ3RER9xtqwdhxkhw/edit?usp=sharing"",""อ่างทอง!M495"")"),0)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IFERROR(__xludf.DUMMYFUNCTION("IMPORTRANGE(""https://docs.google.com/spreadsheets/d/1SX6NBoVAgQJ6U1MVXOaj8PK2l7WJ3RER9xtqwdhxkhw/edit?usp=sharing"",""อ่างทอง!L496"")"),10800)</f>
        <v>10800</v>
      </c>
      <c r="M601" s="169"/>
      <c r="N601" s="169">
        <f ca="1">IFERROR(__xludf.DUMMYFUNCTION("IMPORTRANGE(""https://docs.google.com/spreadsheets/d/1SX6NBoVAgQJ6U1MVXOaj8PK2l7WJ3RER9xtqwdhxkhw/edit?usp=sharing"",""อ่างทอง!M496"")"),1170)</f>
        <v>1170</v>
      </c>
      <c r="O601" s="169">
        <f t="shared" ca="1" si="126"/>
        <v>10.833333333333334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IFERROR(__xludf.DUMMYFUNCTION("IMPORTRANGE(""https://docs.google.com/spreadsheets/d/1SX6NBoVAgQJ6U1MVXOaj8PK2l7WJ3RER9xtqwdhxkhw/edit?usp=sharing"",""อ่างทอง!M497"")"),0)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IFERROR(__xludf.DUMMYFUNCTION("IMPORTRANGE(""https://docs.google.com/spreadsheets/d/1SX6NBoVAgQJ6U1MVXOaj8PK2l7WJ3RER9xtqwdhxkhw/edit?usp=sharing"",""อ่างทอง!M498"")"),0)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IFERROR(__xludf.DUMMYFUNCTION("IMPORTRANGE(""https://docs.google.com/spreadsheets/d/1SX6NBoVAgQJ6U1MVXOaj8PK2l7WJ3RER9xtqwdhxkhw/edit?usp=sharing"",""อ่างทอง!M499"")"),0)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IFERROR(__xludf.DUMMYFUNCTION("IMPORTRANGE(""https://docs.google.com/spreadsheets/d/1SX6NBoVAgQJ6U1MVXOaj8PK2l7WJ3RER9xtqwdhxkhw/edit?usp=sharing"",""อ่างทอง!M500"")"),1170)</f>
        <v>1170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IFERROR(__xludf.DUMMYFUNCTION("IMPORTRANGE(""https://docs.google.com/spreadsheets/d/1SX6NBoVAgQJ6U1MVXOaj8PK2l7WJ3RER9xtqwdhxkhw/edit?usp=sharing"",""อ่างทอง!J502"")"),0)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IFERROR(__xludf.DUMMYFUNCTION("IMPORTRANGE(""https://docs.google.com/spreadsheets/d/1SX6NBoVAgQJ6U1MVXOaj8PK2l7WJ3RER9xtqwdhxkhw/edit?usp=sharing"",""อ่างทอง!J503"")"),1)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IFERROR(__xludf.DUMMYFUNCTION("IMPORTRANGE(""https://docs.google.com/spreadsheets/d/1SX6NBoVAgQJ6U1MVXOaj8PK2l7WJ3RER9xtqwdhxkhw/edit?usp=sharing"",""อ่างทอง!J166"")"),0)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IFERROR(__xludf.DUMMYFUNCTION("IMPORTRANGE(""https://docs.google.com/spreadsheets/d/1SX6NBoVAgQJ6U1MVXOaj8PK2l7WJ3RER9xtqwdhxkhw/edit?usp=sharing"",""อ่างทอง!J166"")"),0)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IFERROR(__xludf.DUMMYFUNCTION("IMPORTRANGE(""https://docs.google.com/spreadsheets/d/1SX6NBoVAgQJ6U1MVXOaj8PK2l7WJ3RER9xtqwdhxkhw/edit?usp=sharing"",""อ่างทอง!I506"")"),80)</f>
        <v>80</v>
      </c>
      <c r="J611" s="162">
        <f ca="1">IFERROR(__xludf.DUMMYFUNCTION("IMPORTRANGE(""https://docs.google.com/spreadsheets/d/1SX6NBoVAgQJ6U1MVXOaj8PK2l7WJ3RER9xtqwdhxkhw/edit?usp=sharing"",""อ่างทอง!J506"")"),0)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IFERROR(__xludf.DUMMYFUNCTION("IMPORTRANGE(""https://docs.google.com/spreadsheets/d/1SX6NBoVAgQJ6U1MVXOaj8PK2l7WJ3RER9xtqwdhxkhw/edit?usp=sharing"",""อ่างทอง!I507"")"),0)</f>
        <v>0</v>
      </c>
      <c r="J612" s="198">
        <f ca="1">IFERROR(__xludf.DUMMYFUNCTION("IMPORTRANGE(""https://docs.google.com/spreadsheets/d/1SX6NBoVAgQJ6U1MVXOaj8PK2l7WJ3RER9xtqwdhxkhw/edit?usp=sharing"",""อ่างทอง!J507"")"),418)</f>
        <v>418</v>
      </c>
      <c r="K612" s="163">
        <f t="shared" ca="1" si="127"/>
        <v>522.5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IFERROR(__xludf.DUMMYFUNCTION("IMPORTRANGE(""https://docs.google.com/spreadsheets/d/1SX6NBoVAgQJ6U1MVXOaj8PK2l7WJ3RER9xtqwdhxkhw/edit?usp=sharing"",""อ่างทอง!I508"")"),0)</f>
        <v>0</v>
      </c>
      <c r="J613" s="198">
        <f ca="1">IFERROR(__xludf.DUMMYFUNCTION("IMPORTRANGE(""https://docs.google.com/spreadsheets/d/1SX6NBoVAgQJ6U1MVXOaj8PK2l7WJ3RER9xtqwdhxkhw/edit?usp=sharing"",""อ่างทอง!J508"")"),0)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IFERROR(__xludf.DUMMYFUNCTION("IMPORTRANGE(""https://docs.google.com/spreadsheets/d/1SX6NBoVAgQJ6U1MVXOaj8PK2l7WJ3RER9xtqwdhxkhw/edit?usp=sharing"",""อ่างทอง!I509"")"),0)</f>
        <v>0</v>
      </c>
      <c r="J614" s="198">
        <f ca="1">IFERROR(__xludf.DUMMYFUNCTION("IMPORTRANGE(""https://docs.google.com/spreadsheets/d/1SX6NBoVAgQJ6U1MVXOaj8PK2l7WJ3RER9xtqwdhxkhw/edit?usp=sharing"",""อ่างทอง!J509"")"),0)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IFERROR(__xludf.DUMMYFUNCTION("IMPORTRANGE(""https://docs.google.com/spreadsheets/d/1SX6NBoVAgQJ6U1MVXOaj8PK2l7WJ3RER9xtqwdhxkhw/edit?usp=sharing"",""อ่างทอง!I510"")"),0)</f>
        <v>0</v>
      </c>
      <c r="J615" s="198">
        <f ca="1">IFERROR(__xludf.DUMMYFUNCTION("IMPORTRANGE(""https://docs.google.com/spreadsheets/d/1SX6NBoVAgQJ6U1MVXOaj8PK2l7WJ3RER9xtqwdhxkhw/edit?usp=sharing"",""อ่างทอง!J510"")"),0)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IFERROR(__xludf.DUMMYFUNCTION("IMPORTRANGE(""https://docs.google.com/spreadsheets/d/1SX6NBoVAgQJ6U1MVXOaj8PK2l7WJ3RER9xtqwdhxkhw/edit?usp=sharing"",""อ่างทอง!I511"")"),0)</f>
        <v>0</v>
      </c>
      <c r="J616" s="198">
        <f ca="1">IFERROR(__xludf.DUMMYFUNCTION("IMPORTRANGE(""https://docs.google.com/spreadsheets/d/1SX6NBoVAgQJ6U1MVXOaj8PK2l7WJ3RER9xtqwdhxkhw/edit?usp=sharing"",""อ่างทอง!J511"")"),0)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IFERROR(__xludf.DUMMYFUNCTION("IMPORTRANGE(""https://docs.google.com/spreadsheets/d/1SX6NBoVAgQJ6U1MVXOaj8PK2l7WJ3RER9xtqwdhxkhw/edit?usp=sharing"",""อ่างทอง!I512"")"),0)</f>
        <v>0</v>
      </c>
      <c r="J617" s="188">
        <f ca="1">IFERROR(__xludf.DUMMYFUNCTION("IMPORTRANGE(""https://docs.google.com/spreadsheets/d/1SX6NBoVAgQJ6U1MVXOaj8PK2l7WJ3RER9xtqwdhxkhw/edit?usp=sharing"",""อ่างทอง!J512"")"),0)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IFERROR(__xludf.DUMMYFUNCTION("IMPORTRANGE(""https://docs.google.com/spreadsheets/d/1SX6NBoVAgQJ6U1MVXOaj8PK2l7WJ3RER9xtqwdhxkhw/edit?usp=sharing"",""อ่างทอง!I513"")"),0)</f>
        <v>0</v>
      </c>
      <c r="J618" s="189">
        <f ca="1">IFERROR(__xludf.DUMMYFUNCTION("IMPORTRANGE(""https://docs.google.com/spreadsheets/d/1SX6NBoVAgQJ6U1MVXOaj8PK2l7WJ3RER9xtqwdhxkhw/edit?usp=sharing"",""อ่างทอง!J513"")"),0)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IFERROR(__xludf.DUMMYFUNCTION("IMPORTRANGE(""https://docs.google.com/spreadsheets/d/1SX6NBoVAgQJ6U1MVXOaj8PK2l7WJ3RER9xtqwdhxkhw/edit?usp=sharing"",""อ่างทอง!I514"")"),0)</f>
        <v>0</v>
      </c>
      <c r="J619" s="189">
        <f ca="1">IFERROR(__xludf.DUMMYFUNCTION("IMPORTRANGE(""https://docs.google.com/spreadsheets/d/1SX6NBoVAgQJ6U1MVXOaj8PK2l7WJ3RER9xtqwdhxkhw/edit?usp=sharing"",""อ่างทอง!J514"")"),0)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IFERROR(__xludf.DUMMYFUNCTION("IMPORTRANGE(""https://docs.google.com/spreadsheets/d/1SX6NBoVAgQJ6U1MVXOaj8PK2l7WJ3RER9xtqwdhxkhw/edit?usp=sharing"",""อ่างทอง!I515"")"),293)</f>
        <v>293</v>
      </c>
      <c r="J620" s="203">
        <f ca="1">IFERROR(__xludf.DUMMYFUNCTION("IMPORTRANGE(""https://docs.google.com/spreadsheets/d/1SX6NBoVAgQJ6U1MVXOaj8PK2l7WJ3RER9xtqwdhxkhw/edit?usp=sharing"",""อ่างทอง!J515"")"),0)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IFERROR(__xludf.DUMMYFUNCTION("IMPORTRANGE(""https://docs.google.com/spreadsheets/d/1SX6NBoVAgQJ6U1MVXOaj8PK2l7WJ3RER9xtqwdhxkhw/edit?usp=sharing"",""อ่างทอง!I516"")"),0)</f>
        <v>0</v>
      </c>
      <c r="J621" s="203">
        <f ca="1">IFERROR(__xludf.DUMMYFUNCTION("IMPORTRANGE(""https://docs.google.com/spreadsheets/d/1SX6NBoVAgQJ6U1MVXOaj8PK2l7WJ3RER9xtqwdhxkhw/edit?usp=sharing"",""อ่างทอง!J516"")"),0)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IFERROR(__xludf.DUMMYFUNCTION("IMPORTRANGE(""https://docs.google.com/spreadsheets/d/1SX6NBoVAgQJ6U1MVXOaj8PK2l7WJ3RER9xtqwdhxkhw/edit?usp=sharing"",""อ่างทอง!I517"")"),0)</f>
        <v>0</v>
      </c>
      <c r="J622" s="189">
        <f ca="1">IFERROR(__xludf.DUMMYFUNCTION("IMPORTRANGE(""https://docs.google.com/spreadsheets/d/1SX6NBoVAgQJ6U1MVXOaj8PK2l7WJ3RER9xtqwdhxkhw/edit?usp=sharing"",""อ่างทอง!J517"")"),0)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IFERROR(__xludf.DUMMYFUNCTION("IMPORTRANGE(""https://docs.google.com/spreadsheets/d/1SX6NBoVAgQJ6U1MVXOaj8PK2l7WJ3RER9xtqwdhxkhw/edit?usp=sharing"",""อ่างทอง!I518"")"),0)</f>
        <v>0</v>
      </c>
      <c r="J623" s="189">
        <f ca="1">IFERROR(__xludf.DUMMYFUNCTION("IMPORTRANGE(""https://docs.google.com/spreadsheets/d/1SX6NBoVAgQJ6U1MVXOaj8PK2l7WJ3RER9xtqwdhxkhw/edit?usp=sharing"",""อ่างทอง!J518"")"),0)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IFERROR(__xludf.DUMMYFUNCTION("IMPORTRANGE(""https://docs.google.com/spreadsheets/d/1SX6NBoVAgQJ6U1MVXOaj8PK2l7WJ3RER9xtqwdhxkhw/edit?usp=sharing"",""อ่างทอง!I519"")"),0)</f>
        <v>0</v>
      </c>
      <c r="J624" s="188">
        <f ca="1">IFERROR(__xludf.DUMMYFUNCTION("IMPORTRANGE(""https://docs.google.com/spreadsheets/d/1SX6NBoVAgQJ6U1MVXOaj8PK2l7WJ3RER9xtqwdhxkhw/edit?usp=sharing"",""อ่างทอง!J519"")"),0)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IFERROR(__xludf.DUMMYFUNCTION("IMPORTRANGE(""https://docs.google.com/spreadsheets/d/1SX6NBoVAgQJ6U1MVXOaj8PK2l7WJ3RER9xtqwdhxkhw/edit?usp=sharing"",""อ่างทอง!I520"")"),0)</f>
        <v>0</v>
      </c>
      <c r="J625" s="189">
        <f ca="1">IFERROR(__xludf.DUMMYFUNCTION("IMPORTRANGE(""https://docs.google.com/spreadsheets/d/1SX6NBoVAgQJ6U1MVXOaj8PK2l7WJ3RER9xtqwdhxkhw/edit?usp=sharing"",""อ่างทอง!J520"")"),0)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IFERROR(__xludf.DUMMYFUNCTION("IMPORTRANGE(""https://docs.google.com/spreadsheets/d/1SX6NBoVAgQJ6U1MVXOaj8PK2l7WJ3RER9xtqwdhxkhw/edit?usp=sharing"",""อ่างทอง!I521"")"),0)</f>
        <v>0</v>
      </c>
      <c r="J626" s="189">
        <f ca="1">IFERROR(__xludf.DUMMYFUNCTION("IMPORTRANGE(""https://docs.google.com/spreadsheets/d/1SX6NBoVAgQJ6U1MVXOaj8PK2l7WJ3RER9xtqwdhxkhw/edit?usp=sharing"",""อ่างทอง!J521"")"),0)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IFERROR(__xludf.DUMMYFUNCTION("IMPORTRANGE(""https://docs.google.com/spreadsheets/d/1SX6NBoVAgQJ6U1MVXOaj8PK2l7WJ3RER9xtqwdhxkhw/edit?usp=sharing"",""อ่างทอง!I523"")"),510000)</f>
        <v>510000</v>
      </c>
      <c r="J628" s="341">
        <f ca="1">IFERROR(__xludf.DUMMYFUNCTION("IMPORTRANGE(""https://docs.google.com/spreadsheets/d/1SX6NBoVAgQJ6U1MVXOaj8PK2l7WJ3RER9xtqwdhxkhw/edit?usp=sharing"",""อ่างทอง!J523"")"),30000)</f>
        <v>30000</v>
      </c>
      <c r="K628" s="342">
        <f t="shared" ref="K628:K635" ca="1" si="129">IF(I628&gt;0,J628*100/I628,0)</f>
        <v>5.882352941176471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IFERROR(__xludf.DUMMYFUNCTION("IMPORTRANGE(""https://docs.google.com/spreadsheets/d/1SX6NBoVAgQJ6U1MVXOaj8PK2l7WJ3RER9xtqwdhxkhw/edit?usp=sharing"",""อ่างทอง!I524"")"),18)</f>
        <v>18</v>
      </c>
      <c r="J629" s="341">
        <f ca="1">IFERROR(__xludf.DUMMYFUNCTION("IMPORTRANGE(""https://docs.google.com/spreadsheets/d/1SX6NBoVAgQJ6U1MVXOaj8PK2l7WJ3RER9xtqwdhxkhw/edit?usp=sharing"",""อ่างทอง!J524"")"),1)</f>
        <v>1</v>
      </c>
      <c r="K629" s="342">
        <f t="shared" ca="1" si="129"/>
        <v>5.5555555555555554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IFERROR(__xludf.DUMMYFUNCTION("IMPORTRANGE(""https://docs.google.com/spreadsheets/d/1SX6NBoVAgQJ6U1MVXOaj8PK2l7WJ3RER9xtqwdhxkhw/edit?usp=sharing"",""อ่างทอง!I525"")"),169583.93)</f>
        <v>169583.93</v>
      </c>
      <c r="J630" s="341">
        <f ca="1">IFERROR(__xludf.DUMMYFUNCTION("IMPORTRANGE(""https://docs.google.com/spreadsheets/d/1SX6NBoVAgQJ6U1MVXOaj8PK2l7WJ3RER9xtqwdhxkhw/edit?usp=sharing"",""อ่างทอง!J525"")"),110233.6)</f>
        <v>110233.60000000001</v>
      </c>
      <c r="K630" s="342">
        <f t="shared" ca="1" si="129"/>
        <v>65.002385544432187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IFERROR(__xludf.DUMMYFUNCTION("IMPORTRANGE(""https://docs.google.com/spreadsheets/d/1SX6NBoVAgQJ6U1MVXOaj8PK2l7WJ3RER9xtqwdhxkhw/edit?usp=sharing"",""อ่างทอง!I526"")"),6)</f>
        <v>6</v>
      </c>
      <c r="J631" s="341">
        <f ca="1">IFERROR(__xludf.DUMMYFUNCTION("IMPORTRANGE(""https://docs.google.com/spreadsheets/d/1SX6NBoVAgQJ6U1MVXOaj8PK2l7WJ3RER9xtqwdhxkhw/edit?usp=sharing"",""อ่างทอง!J526"")"),6)</f>
        <v>6</v>
      </c>
      <c r="K631" s="342">
        <f t="shared" ca="1" si="129"/>
        <v>100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IFERROR(__xludf.DUMMYFUNCTION("IMPORTRANGE(""https://docs.google.com/spreadsheets/d/1SX6NBoVAgQJ6U1MVXOaj8PK2l7WJ3RER9xtqwdhxkhw/edit?usp=sharing"",""อ่างทอง!I527"")"),39445.31)</f>
        <v>39445.31</v>
      </c>
      <c r="J632" s="341">
        <f ca="1">IFERROR(__xludf.DUMMYFUNCTION("IMPORTRANGE(""https://docs.google.com/spreadsheets/d/1SX6NBoVAgQJ6U1MVXOaj8PK2l7WJ3RER9xtqwdhxkhw/edit?usp=sharing"",""อ่างทอง!J527"")"),20728.55)</f>
        <v>20728.55</v>
      </c>
      <c r="K632" s="342">
        <f t="shared" ca="1" si="129"/>
        <v>52.550100379487453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IFERROR(__xludf.DUMMYFUNCTION("IMPORTRANGE(""https://docs.google.com/spreadsheets/d/1SX6NBoVAgQJ6U1MVXOaj8PK2l7WJ3RER9xtqwdhxkhw/edit?usp=sharing"",""อ่างทอง!I528"")"),52)</f>
        <v>52</v>
      </c>
      <c r="J633" s="341">
        <f ca="1">IFERROR(__xludf.DUMMYFUNCTION("IMPORTRANGE(""https://docs.google.com/spreadsheets/d/1SX6NBoVAgQJ6U1MVXOaj8PK2l7WJ3RER9xtqwdhxkhw/edit?usp=sharing"",""อ่างทอง!J528"")"),28)</f>
        <v>28</v>
      </c>
      <c r="K633" s="342">
        <f t="shared" ca="1" si="129"/>
        <v>53.846153846153847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IFERROR(__xludf.DUMMYFUNCTION("IMPORTRANGE(""https://docs.google.com/spreadsheets/d/1SX6NBoVAgQJ6U1MVXOaj8PK2l7WJ3RER9xtqwdhxkhw/edit?usp=sharing"",""อ่างทอง!I529"")"),900000)</f>
        <v>900000</v>
      </c>
      <c r="J634" s="341">
        <f ca="1">IFERROR(__xludf.DUMMYFUNCTION("IMPORTRANGE(""https://docs.google.com/spreadsheets/d/1SX6NBoVAgQJ6U1MVXOaj8PK2l7WJ3RER9xtqwdhxkhw/edit?usp=sharing"",""อ่างทอง!J529"")"),0)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IFERROR(__xludf.DUMMYFUNCTION("IMPORTRANGE(""https://docs.google.com/spreadsheets/d/1SX6NBoVAgQJ6U1MVXOaj8PK2l7WJ3RER9xtqwdhxkhw/edit?usp=sharing"",""อ่างทอง!I530"")"),30)</f>
        <v>30</v>
      </c>
      <c r="J635" s="504">
        <f ca="1">IFERROR(__xludf.DUMMYFUNCTION("IMPORTRANGE(""https://docs.google.com/spreadsheets/d/1SX6NBoVAgQJ6U1MVXOaj8PK2l7WJ3RER9xtqwdhxkhw/edit?usp=sharing"",""อ่างทอง!J530"")"),0)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240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4127768</v>
      </c>
      <c r="M8" s="23">
        <f t="shared" ca="1" si="0"/>
        <v>2478122</v>
      </c>
      <c r="N8" s="23">
        <f t="shared" ca="1" si="0"/>
        <v>1636528.5899999999</v>
      </c>
      <c r="O8" s="22">
        <f t="shared" ref="O8:O16" ca="1" si="1">IF(L8&gt;0,N8*100/L8,0)</f>
        <v>39.646816148581991</v>
      </c>
      <c r="P8" s="22">
        <f t="shared" ref="P8:P16" ca="1" si="2">IF(M8&gt;0,N8*100/M8,0)</f>
        <v>66.039064662676012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4127768</v>
      </c>
      <c r="M10" s="30">
        <f t="shared" ca="1" si="4"/>
        <v>2478122</v>
      </c>
      <c r="N10" s="30">
        <f t="shared" ca="1" si="4"/>
        <v>1636528.5899999999</v>
      </c>
      <c r="O10" s="29">
        <f t="shared" ca="1" si="1"/>
        <v>39.646816148581991</v>
      </c>
      <c r="P10" s="29">
        <f t="shared" ca="1" si="2"/>
        <v>66.039064662676012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3837668</v>
      </c>
      <c r="M12" s="38">
        <f t="shared" ca="1" si="6"/>
        <v>2188022</v>
      </c>
      <c r="N12" s="38">
        <f t="shared" ca="1" si="6"/>
        <v>1346428.5899999999</v>
      </c>
      <c r="O12" s="38">
        <f t="shared" ca="1" si="1"/>
        <v>35.084551086753727</v>
      </c>
      <c r="P12" s="38">
        <f t="shared" ca="1" si="2"/>
        <v>61.536336928970549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1494300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2343368</v>
      </c>
      <c r="M14" s="38">
        <f t="shared" si="8"/>
        <v>0</v>
      </c>
      <c r="N14" s="38">
        <f t="shared" ca="1" si="8"/>
        <v>251024</v>
      </c>
      <c r="O14" s="38">
        <f t="shared" ca="1" si="1"/>
        <v>10.712103263337214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290100</v>
      </c>
      <c r="M16" s="38">
        <f t="shared" ca="1" si="10"/>
        <v>290100</v>
      </c>
      <c r="N16" s="38">
        <f t="shared" ca="1" si="10"/>
        <v>290100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3095545</v>
      </c>
      <c r="M18" s="23">
        <f t="shared" ca="1" si="11"/>
        <v>2478122</v>
      </c>
      <c r="N18" s="23">
        <f t="shared" ca="1" si="11"/>
        <v>1385504.5899999999</v>
      </c>
      <c r="O18" s="22">
        <f t="shared" ref="O18:O20" ca="1" si="12">IF(L18&gt;0,N18*100/L18,0)</f>
        <v>44.758018054979011</v>
      </c>
      <c r="P18" s="22">
        <f t="shared" ref="P18:P26" ca="1" si="13">IF(M18&gt;0,N18*100/M18,0)</f>
        <v>55.909458452812252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3095545</v>
      </c>
      <c r="M20" s="30">
        <f t="shared" ca="1" si="15"/>
        <v>2478122</v>
      </c>
      <c r="N20" s="30">
        <f t="shared" ca="1" si="15"/>
        <v>1385504.5899999999</v>
      </c>
      <c r="O20" s="29">
        <f t="shared" ca="1" si="12"/>
        <v>44.758018054979011</v>
      </c>
      <c r="P20" s="29">
        <f t="shared" ca="1" si="13"/>
        <v>55.909458452812252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2805445</v>
      </c>
      <c r="M22" s="41">
        <f t="shared" ca="1" si="18"/>
        <v>2188022</v>
      </c>
      <c r="N22" s="38">
        <f t="shared" ca="1" si="18"/>
        <v>1095404.5899999999</v>
      </c>
      <c r="O22" s="38">
        <f t="shared" ca="1" si="17"/>
        <v>39.045662631062093</v>
      </c>
      <c r="P22" s="38">
        <f t="shared" ca="1" si="13"/>
        <v>50.063691772751824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1494300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1311145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290100</v>
      </c>
      <c r="M26" s="49">
        <f t="shared" ca="1" si="22"/>
        <v>290100</v>
      </c>
      <c r="N26" s="49">
        <f t="shared" ca="1" si="22"/>
        <v>290100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1032223</v>
      </c>
      <c r="M28" s="23">
        <f t="shared" si="23"/>
        <v>0</v>
      </c>
      <c r="N28" s="23">
        <f t="shared" ca="1" si="23"/>
        <v>251024</v>
      </c>
      <c r="O28" s="22">
        <f t="shared" ref="O28:O30" ca="1" si="24">IF(L28&gt;0,N28*100/L28,0)</f>
        <v>24.318776078424914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1032223</v>
      </c>
      <c r="M30" s="30">
        <f t="shared" si="27"/>
        <v>0</v>
      </c>
      <c r="N30" s="30">
        <f t="shared" ca="1" si="27"/>
        <v>251024</v>
      </c>
      <c r="O30" s="29">
        <f t="shared" ca="1" si="24"/>
        <v>24.318776078424914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1032223</v>
      </c>
      <c r="M32" s="38">
        <f t="shared" si="30"/>
        <v>0</v>
      </c>
      <c r="N32" s="38">
        <f t="shared" ca="1" si="30"/>
        <v>251024</v>
      </c>
      <c r="O32" s="38">
        <f t="shared" ca="1" si="29"/>
        <v>24.318776078424914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1032223</v>
      </c>
      <c r="M34" s="38">
        <f t="shared" si="32"/>
        <v>0</v>
      </c>
      <c r="N34" s="38">
        <f t="shared" ca="1" si="32"/>
        <v>251024</v>
      </c>
      <c r="O34" s="38">
        <f t="shared" ca="1" si="29"/>
        <v>24.318776078424914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3095545</v>
      </c>
      <c r="M37" s="54">
        <f t="shared" ca="1" si="33"/>
        <v>2478122</v>
      </c>
      <c r="N37" s="54">
        <f t="shared" ca="1" si="33"/>
        <v>1385504.5899999999</v>
      </c>
      <c r="O37" s="55">
        <f t="shared" ca="1" si="29"/>
        <v>44.758018054979011</v>
      </c>
      <c r="P37" s="55">
        <f t="shared" ca="1" si="25"/>
        <v>55.909458452812252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614100</v>
      </c>
      <c r="M41" s="78">
        <f t="shared" ca="1" si="34"/>
        <v>460600</v>
      </c>
      <c r="N41" s="78">
        <f t="shared" ca="1" si="34"/>
        <v>253984.58</v>
      </c>
      <c r="O41" s="77">
        <f t="shared" ref="O41:O43" ca="1" si="35">IF(L41&gt;0,N41*100/L41,0)</f>
        <v>41.358830809314441</v>
      </c>
      <c r="P41" s="77">
        <f t="shared" ref="P41:P43" ca="1" si="36">IF(M41&gt;0,N41*100/M41,0)</f>
        <v>55.142114633087274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614100</v>
      </c>
      <c r="M43" s="78">
        <f t="shared" ca="1" si="38"/>
        <v>460600</v>
      </c>
      <c r="N43" s="78">
        <f t="shared" ca="1" si="38"/>
        <v>253984.58</v>
      </c>
      <c r="O43" s="77">
        <f t="shared" ca="1" si="35"/>
        <v>41.358830809314441</v>
      </c>
      <c r="P43" s="77">
        <f t="shared" ca="1" si="36"/>
        <v>55.142114633087274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614100</v>
      </c>
      <c r="M45" s="49">
        <f ca="1">IFERROR(__xludf.DUMMYFUNCTION("IMPORTRANGE(""https://docs.google.com/spreadsheets/d/1Yj_ptqi66GCucihVvJfMjLAmec39IyEx_6qawtMGysU/edit?usp=sharing"",""สบก!Q60"")"),460600)</f>
        <v>460600</v>
      </c>
      <c r="N45" s="49">
        <f ca="1">IFERROR(__xludf.DUMMYFUNCTION("IMPORTRANGE(""https://docs.google.com/spreadsheets/d/1Yj_ptqi66GCucihVvJfMjLAmec39IyEx_6qawtMGysU/edit?usp=sharing"",""สบก!R60"")"),253984.58)</f>
        <v>253984.58</v>
      </c>
      <c r="O45" s="38">
        <f ca="1">IF(L45&gt;0,N45*100/L45,0)</f>
        <v>41.358830809314441</v>
      </c>
      <c r="P45" s="38">
        <f ca="1">IF(M45&gt;0,N45*100/M45,0)</f>
        <v>55.142114633087274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IFERROR(__xludf.DUMMYFUNCTION("IMPORTRANGE(""https://docs.google.com/spreadsheets/d/1Yj_ptqi66GCucihVvJfMjLAmec39IyEx_6qawtMGysU/edit?usp=sharing"",""สบก!M60"")"),614100)</f>
        <v>614100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IFERROR(__xludf.DUMMYFUNCTION("IMPORTRANGE(""https://docs.google.com/spreadsheets/d/1Yj_ptqi66GCucihVvJfMjLAmec39IyEx_6qawtMGysU/edit?usp=sharing"",""สบก!O60"")"),0)</f>
        <v>0</v>
      </c>
      <c r="M49" s="49"/>
      <c r="N49" s="49">
        <f ca="1">IFERROR(__xludf.DUMMYFUNCTION("IMPORTRANGE(""https://docs.google.com/spreadsheets/d/1Yj_ptqi66GCucihVvJfMjLAmec39IyEx_6qawtMGysU/edit?usp=sharing"",""สบก!S60"")"),0)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267000</v>
      </c>
      <c r="M53" s="121">
        <f t="shared" ca="1" si="39"/>
        <v>208102</v>
      </c>
      <c r="N53" s="121">
        <f t="shared" ca="1" si="39"/>
        <v>138239</v>
      </c>
      <c r="O53" s="120">
        <f t="shared" ref="O53:O55" ca="1" si="40">IF(L53&gt;0,N53*100/L53,0)</f>
        <v>51.774906367041197</v>
      </c>
      <c r="P53" s="120">
        <f t="shared" ref="P53:P55" ca="1" si="41">IF(M53&gt;0,N53*100/M53,0)</f>
        <v>66.428482186620016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267000</v>
      </c>
      <c r="M55" s="121">
        <f t="shared" ca="1" si="43"/>
        <v>208102</v>
      </c>
      <c r="N55" s="121">
        <f t="shared" ca="1" si="43"/>
        <v>138239</v>
      </c>
      <c r="O55" s="120">
        <f t="shared" ca="1" si="40"/>
        <v>51.774906367041197</v>
      </c>
      <c r="P55" s="120">
        <f t="shared" ca="1" si="41"/>
        <v>66.428482186620016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267000</v>
      </c>
      <c r="M57" s="49">
        <f ca="1">IFERROR(__xludf.DUMMYFUNCTION("IMPORTRANGE(""https://docs.google.com/spreadsheets/d/1Yj_ptqi66GCucihVvJfMjLAmec39IyEx_6qawtMGysU/edit?usp=sharing"",""สบก!Z60"")"),208102)</f>
        <v>208102</v>
      </c>
      <c r="N57" s="49">
        <f ca="1">IFERROR(__xludf.DUMMYFUNCTION("IMPORTRANGE(""https://docs.google.com/spreadsheets/d/1Yj_ptqi66GCucihVvJfMjLAmec39IyEx_6qawtMGysU/edit?usp=sharing"",""สบก!AA60"")"),138239)</f>
        <v>138239</v>
      </c>
      <c r="O57" s="38">
        <f ca="1">IF(L57&gt;0,N57*100/L57,0)</f>
        <v>51.774906367041197</v>
      </c>
      <c r="P57" s="38">
        <f ca="1">IF(M57&gt;0,N57*100/M57,0)</f>
        <v>66.428482186620016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IFERROR(__xludf.DUMMYFUNCTION("IMPORTRANGE(""https://docs.google.com/spreadsheets/d/1Yj_ptqi66GCucihVvJfMjLAmec39IyEx_6qawtMGysU/edit?usp=sharing"",""สบก!V60"")"),267000)</f>
        <v>267000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IFERROR(__xludf.DUMMYFUNCTION("IMPORTRANGE(""https://docs.google.com/spreadsheets/d/1Yj_ptqi66GCucihVvJfMjLAmec39IyEx_6qawtMGysU/edit?usp=sharing"",""สบก!X60"")"),0)</f>
        <v>0</v>
      </c>
      <c r="M61" s="49"/>
      <c r="N61" s="49">
        <f ca="1">IFERROR(__xludf.DUMMYFUNCTION("IMPORTRANGE(""https://docs.google.com/spreadsheets/d/1Yj_ptqi66GCucihVvJfMjLAmec39IyEx_6qawtMGysU/edit?usp=sharing"",""สบก!AB60"")"),0)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IFERROR(__xludf.DUMMYFUNCTION("IMPORTRANGE(""https://docs.google.com/spreadsheets/d/1SX6NBoVAgQJ6U1MVXOaj8PK2l7WJ3RER9xtqwdhxkhw/edit?usp=sharing"",""จันทบุรี!I9"")"),1)</f>
        <v>1</v>
      </c>
      <c r="J64" s="142">
        <f ca="1">IFERROR(__xludf.DUMMYFUNCTION("IMPORTRANGE(""https://docs.google.com/spreadsheets/d/1SX6NBoVAgQJ6U1MVXOaj8PK2l7WJ3RER9xtqwdhxkhw/edit?usp=sharing"",""จันทบุรี!J9"")"),1)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IFERROR(__xludf.DUMMYFUNCTION("IMPORTRANGE(""https://docs.google.com/spreadsheets/d/1SX6NBoVAgQJ6U1MVXOaj8PK2l7WJ3RER9xtqwdhxkhw/edit?usp=sharing"",""จันทบุรี!I10"")"),60)</f>
        <v>60</v>
      </c>
      <c r="J65" s="142">
        <f ca="1">IFERROR(__xludf.DUMMYFUNCTION("IMPORTRANGE(""https://docs.google.com/spreadsheets/d/1SX6NBoVAgQJ6U1MVXOaj8PK2l7WJ3RER9xtqwdhxkhw/edit?usp=sharing"",""จันทบุรี!J10"")"),60)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1003300</v>
      </c>
      <c r="M66" s="152">
        <f t="shared" ca="1" si="45"/>
        <v>887120</v>
      </c>
      <c r="N66" s="152">
        <f t="shared" ca="1" si="45"/>
        <v>509081.01</v>
      </c>
      <c r="O66" s="151">
        <f t="shared" ref="O66:O68" ca="1" si="46">IF(L66&gt;0,N66*100/L66,0)</f>
        <v>50.740656832452906</v>
      </c>
      <c r="P66" s="151">
        <f t="shared" ref="P66:P68" ca="1" si="47">IF(M66&gt;0,N66*100/M66,0)</f>
        <v>57.385811389665434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1003300</v>
      </c>
      <c r="M68" s="157">
        <f t="shared" ca="1" si="49"/>
        <v>887120</v>
      </c>
      <c r="N68" s="157">
        <f t="shared" ca="1" si="49"/>
        <v>509081.01</v>
      </c>
      <c r="O68" s="156">
        <f t="shared" ca="1" si="46"/>
        <v>50.740656832452906</v>
      </c>
      <c r="P68" s="156">
        <f t="shared" ca="1" si="47"/>
        <v>57.385811389665434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713200</v>
      </c>
      <c r="M70" s="168">
        <f ca="1">IFERROR(__xludf.DUMMYFUNCTION("IMPORTRANGE(""https://docs.google.com/spreadsheets/d/1Yj_ptqi66GCucihVvJfMjLAmec39IyEx_6qawtMGysU/edit?usp=sharing"",""สบก!AI60"")"),597020)</f>
        <v>597020</v>
      </c>
      <c r="N70" s="169">
        <f ca="1">IFERROR(__xludf.DUMMYFUNCTION("IMPORTRANGE(""https://docs.google.com/spreadsheets/d/1Yj_ptqi66GCucihVvJfMjLAmec39IyEx_6qawtMGysU/edit?usp=sharing"",""สบก!AJ60"")"),218981.01)</f>
        <v>218981.01</v>
      </c>
      <c r="O70" s="169">
        <f ca="1">IF(L70&gt;0,N70*100/L70,0)</f>
        <v>30.704011497476163</v>
      </c>
      <c r="P70" s="169">
        <f ca="1">IF(M70&gt;0,N70*100/M70,0)</f>
        <v>36.679007403437069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IFERROR(__xludf.DUMMYFUNCTION("IMPORTRANGE(""https://docs.google.com/spreadsheets/d/1Yj_ptqi66GCucihVvJfMjLAmec39IyEx_6qawtMGysU/edit?usp=sharing"",""สบก!AE60"")"),175200)</f>
        <v>175200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IFERROR(__xludf.DUMMYFUNCTION("IMPORTRANGE(""https://docs.google.com/spreadsheets/d/1Yj_ptqi66GCucihVvJfMjLAmec39IyEx_6qawtMGysU/edit?usp=sharing"",""สบก!AF60"")"),538000)</f>
        <v>538000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IFERROR(__xludf.DUMMYFUNCTION("IMPORTRANGE(""https://docs.google.com/spreadsheets/d/1Yj_ptqi66GCucihVvJfMjLAmec39IyEx_6qawtMGysU/edit?usp=sharing"",""สบก!AG60"")"),290100)</f>
        <v>290100</v>
      </c>
      <c r="M74" s="49">
        <f ca="1">L74</f>
        <v>290100</v>
      </c>
      <c r="N74" s="49">
        <f ca="1">IFERROR(__xludf.DUMMYFUNCTION("IMPORTRANGE(""https://docs.google.com/spreadsheets/d/1Yj_ptqi66GCucihVvJfMjLAmec39IyEx_6qawtMGysU/edit?usp=sharing"",""สบก!AK60"")"),290100)</f>
        <v>290100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IFERROR(__xludf.DUMMYFUNCTION("IMPORTRANGE(""https://docs.google.com/spreadsheets/d/1SX6NBoVAgQJ6U1MVXOaj8PK2l7WJ3RER9xtqwdhxkhw/edit?usp=sharing"",""จันทบุรี!J16"")"),0)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IFERROR(__xludf.DUMMYFUNCTION("IMPORTRANGE(""https://docs.google.com/spreadsheets/d/1SX6NBoVAgQJ6U1MVXOaj8PK2l7WJ3RER9xtqwdhxkhw/edit?usp=sharing"",""จันทบุรี!J17"")"),1)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IFERROR(__xludf.DUMMYFUNCTION("IMPORTRANGE(""https://docs.google.com/spreadsheets/d/1SX6NBoVAgQJ6U1MVXOaj8PK2l7WJ3RER9xtqwdhxkhw/edit?usp=sharing"",""จันทบุรี!J18"")"),1)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IFERROR(__xludf.DUMMYFUNCTION("IMPORTRANGE(""https://docs.google.com/spreadsheets/d/1SX6NBoVAgQJ6U1MVXOaj8PK2l7WJ3RER9xtqwdhxkhw/edit?usp=sharing"",""จันทบุรี!J19"")"),1)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IFERROR(__xludf.DUMMYFUNCTION("IMPORTRANGE(""https://docs.google.com/spreadsheets/d/1SX6NBoVAgQJ6U1MVXOaj8PK2l7WJ3RER9xtqwdhxkhw/edit?usp=sharing"",""จันทบุรี!I20"")"),1)</f>
        <v>1</v>
      </c>
      <c r="J80" s="201">
        <f ca="1">IFERROR(__xludf.DUMMYFUNCTION("IMPORTRANGE(""https://docs.google.com/spreadsheets/d/1SX6NBoVAgQJ6U1MVXOaj8PK2l7WJ3RER9xtqwdhxkhw/edit?usp=sharing"",""จันทบุรี!J20"")"),1)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IFERROR(__xludf.DUMMYFUNCTION("IMPORTRANGE(""https://docs.google.com/spreadsheets/d/1SX6NBoVAgQJ6U1MVXOaj8PK2l7WJ3RER9xtqwdhxkhw/edit?usp=sharing"",""จันทบุรี!I21"")"),60)</f>
        <v>60</v>
      </c>
      <c r="J81" s="201">
        <f ca="1">IFERROR(__xludf.DUMMYFUNCTION("IMPORTRANGE(""https://docs.google.com/spreadsheets/d/1SX6NBoVAgQJ6U1MVXOaj8PK2l7WJ3RER9xtqwdhxkhw/edit?usp=sharing"",""จันทบุรี!J21"")"),60)</f>
        <v>60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IFERROR(__xludf.DUMMYFUNCTION("IMPORTRANGE(""https://docs.google.com/spreadsheets/d/1SX6NBoVAgQJ6U1MVXOaj8PK2l7WJ3RER9xtqwdhxkhw/edit?usp=sharing"",""จันทบุรี!I22"")"),0)</f>
        <v>0</v>
      </c>
      <c r="J82" s="204">
        <f ca="1">IFERROR(__xludf.DUMMYFUNCTION("IMPORTRANGE(""https://docs.google.com/spreadsheets/d/1SX6NBoVAgQJ6U1MVXOaj8PK2l7WJ3RER9xtqwdhxkhw/edit?usp=sharing"",""จันทบุรี!J22"")"),0)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IFERROR(__xludf.DUMMYFUNCTION("IMPORTRANGE(""https://docs.google.com/spreadsheets/d/1SX6NBoVAgQJ6U1MVXOaj8PK2l7WJ3RER9xtqwdhxkhw/edit?usp=sharing"",""จันทบุรี!I23"")"),0)</f>
        <v>0</v>
      </c>
      <c r="J83" s="204">
        <f ca="1">IFERROR(__xludf.DUMMYFUNCTION("IMPORTRANGE(""https://docs.google.com/spreadsheets/d/1SX6NBoVAgQJ6U1MVXOaj8PK2l7WJ3RER9xtqwdhxkhw/edit?usp=sharing"",""จันทบุรี!J23"")"),0)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IFERROR(__xludf.DUMMYFUNCTION("IMPORTRANGE(""https://docs.google.com/spreadsheets/d/1SX6NBoVAgQJ6U1MVXOaj8PK2l7WJ3RER9xtqwdhxkhw/edit?usp=sharing"",""จันทบุรี!I24"")"),0)</f>
        <v>0</v>
      </c>
      <c r="J84" s="189">
        <f ca="1">IFERROR(__xludf.DUMMYFUNCTION("IMPORTRANGE(""https://docs.google.com/spreadsheets/d/1SX6NBoVAgQJ6U1MVXOaj8PK2l7WJ3RER9xtqwdhxkhw/edit?usp=sharing"",""จันทบุรี!J24"")"),0)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IFERROR(__xludf.DUMMYFUNCTION("IMPORTRANGE(""https://docs.google.com/spreadsheets/d/1SX6NBoVAgQJ6U1MVXOaj8PK2l7WJ3RER9xtqwdhxkhw/edit?usp=sharing"",""จันทบุรี!I25"")"),0)</f>
        <v>0</v>
      </c>
      <c r="J85" s="189">
        <f ca="1">IFERROR(__xludf.DUMMYFUNCTION("IMPORTRANGE(""https://docs.google.com/spreadsheets/d/1SX6NBoVAgQJ6U1MVXOaj8PK2l7WJ3RER9xtqwdhxkhw/edit?usp=sharing"",""จันทบุรี!J25"")"),0)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IFERROR(__xludf.DUMMYFUNCTION("IMPORTRANGE(""https://docs.google.com/spreadsheets/d/1SX6NBoVAgQJ6U1MVXOaj8PK2l7WJ3RER9xtqwdhxkhw/edit?usp=sharing"",""จันทบุรี!I26"")"),1)</f>
        <v>1</v>
      </c>
      <c r="J86" s="204">
        <f ca="1">IFERROR(__xludf.DUMMYFUNCTION("IMPORTRANGE(""https://docs.google.com/spreadsheets/d/1SX6NBoVAgQJ6U1MVXOaj8PK2l7WJ3RER9xtqwdhxkhw/edit?usp=sharing"",""จันทบุรี!J26"")"),1)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IFERROR(__xludf.DUMMYFUNCTION("IMPORTRANGE(""https://docs.google.com/spreadsheets/d/1SX6NBoVAgQJ6U1MVXOaj8PK2l7WJ3RER9xtqwdhxkhw/edit?usp=sharing"",""จันทบุรี!I27"")"),60)</f>
        <v>60</v>
      </c>
      <c r="J87" s="204">
        <f ca="1">IFERROR(__xludf.DUMMYFUNCTION("IMPORTRANGE(""https://docs.google.com/spreadsheets/d/1SX6NBoVAgQJ6U1MVXOaj8PK2l7WJ3RER9xtqwdhxkhw/edit?usp=sharing"",""จันทบุรี!J27"")"),60)</f>
        <v>60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IFERROR(__xludf.DUMMYFUNCTION("IMPORTRANGE(""https://docs.google.com/spreadsheets/d/1SX6NBoVAgQJ6U1MVXOaj8PK2l7WJ3RER9xtqwdhxkhw/edit?usp=sharing"",""จันทบุรี!I28"")"),0)</f>
        <v>0</v>
      </c>
      <c r="J88" s="204">
        <f ca="1">IFERROR(__xludf.DUMMYFUNCTION("IMPORTRANGE(""https://docs.google.com/spreadsheets/d/1SX6NBoVAgQJ6U1MVXOaj8PK2l7WJ3RER9xtqwdhxkhw/edit?usp=sharing"",""จันทบุรี!J28"")"),0)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IFERROR(__xludf.DUMMYFUNCTION("IMPORTRANGE(""https://docs.google.com/spreadsheets/d/1SX6NBoVAgQJ6U1MVXOaj8PK2l7WJ3RER9xtqwdhxkhw/edit?usp=sharing"",""จันทบุรี!J29"")"),0)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IFERROR(__xludf.DUMMYFUNCTION("IMPORTRANGE(""https://docs.google.com/spreadsheets/d/1SX6NBoVAgQJ6U1MVXOaj8PK2l7WJ3RER9xtqwdhxkhw/edit?usp=sharing"",""จันทบุรี!J30"")"),0)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IFERROR(__xludf.DUMMYFUNCTION("IMPORTRANGE(""https://docs.google.com/spreadsheets/d/1SX6NBoVAgQJ6U1MVXOaj8PK2l7WJ3RER9xtqwdhxkhw/edit?usp=sharing"",""จันทบุรี!I32"")"),0)</f>
        <v>0</v>
      </c>
      <c r="J92" s="142">
        <f ca="1">IFERROR(__xludf.DUMMYFUNCTION("IMPORTRANGE(""https://docs.google.com/spreadsheets/d/1SX6NBoVAgQJ6U1MVXOaj8PK2l7WJ3RER9xtqwdhxkhw/edit?usp=sharing"",""จันทบุรี!J32"")"),0)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IFERROR(__xludf.DUMMYFUNCTION("IMPORTRANGE(""https://docs.google.com/spreadsheets/d/1SX6NBoVAgQJ6U1MVXOaj8PK2l7WJ3RER9xtqwdhxkhw/edit?usp=sharing"",""จันทบุรี!I33"")"),0)</f>
        <v>0</v>
      </c>
      <c r="J93" s="142">
        <f ca="1">IFERROR(__xludf.DUMMYFUNCTION("IMPORTRANGE(""https://docs.google.com/spreadsheets/d/1SX6NBoVAgQJ6U1MVXOaj8PK2l7WJ3RER9xtqwdhxkhw/edit?usp=sharing"",""จันทบุรี!J33"")"),0)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IFERROR(__xludf.DUMMYFUNCTION("IMPORTRANGE(""https://docs.google.com/spreadsheets/d/1Yj_ptqi66GCucihVvJfMjLAmec39IyEx_6qawtMGysU/edit?usp=sharing"",""สบก!AR60"")"),0)</f>
        <v>0</v>
      </c>
      <c r="N98" s="169">
        <f ca="1">IFERROR(__xludf.DUMMYFUNCTION("IMPORTRANGE(""https://docs.google.com/spreadsheets/d/1Yj_ptqi66GCucihVvJfMjLAmec39IyEx_6qawtMGysU/edit?usp=sharing"",""สบก!AS60"")"),0)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IFERROR(__xludf.DUMMYFUNCTION("IMPORTRANGE(""https://docs.google.com/spreadsheets/d/1Yj_ptqi66GCucihVvJfMjLAmec39IyEx_6qawtMGysU/edit?usp=sharing"",""สบก!AN60"")"),0)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IFERROR(__xludf.DUMMYFUNCTION("IMPORTRANGE(""https://docs.google.com/spreadsheets/d/1Yj_ptqi66GCucihVvJfMjLAmec39IyEx_6qawtMGysU/edit?usp=sharing"",""สบก!AO60"")"),0)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IFERROR(__xludf.DUMMYFUNCTION("IMPORTRANGE(""https://docs.google.com/spreadsheets/d/1Yj_ptqi66GCucihVvJfMjLAmec39IyEx_6qawtMGysU/edit?usp=sharing"",""สบก!AP60"")"),0)</f>
        <v>0</v>
      </c>
      <c r="M102" s="49"/>
      <c r="N102" s="49">
        <f ca="1">IFERROR(__xludf.DUMMYFUNCTION("IMPORTRANGE(""https://docs.google.com/spreadsheets/d/1Yj_ptqi66GCucihVvJfMjLAmec39IyEx_6qawtMGysU/edit?usp=sharing"",""สบก!AT60"")"),0)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IFERROR(__xludf.DUMMYFUNCTION("IMPORTRANGE(""https://docs.google.com/spreadsheets/d/1SX6NBoVAgQJ6U1MVXOaj8PK2l7WJ3RER9xtqwdhxkhw/edit?usp=sharing"",""จันทบุรี!J39"")"),0)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IFERROR(__xludf.DUMMYFUNCTION("IMPORTRANGE(""https://docs.google.com/spreadsheets/d/1SX6NBoVAgQJ6U1MVXOaj8PK2l7WJ3RER9xtqwdhxkhw/edit?usp=sharing"",""จันทบุรี!J40"")"),0)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IFERROR(__xludf.DUMMYFUNCTION("IMPORTRANGE(""https://docs.google.com/spreadsheets/d/1SX6NBoVAgQJ6U1MVXOaj8PK2l7WJ3RER9xtqwdhxkhw/edit?usp=sharing"",""จันทบุรี!J41"")"),0)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IFERROR(__xludf.DUMMYFUNCTION("IMPORTRANGE(""https://docs.google.com/spreadsheets/d/1SX6NBoVAgQJ6U1MVXOaj8PK2l7WJ3RER9xtqwdhxkhw/edit?usp=sharing"",""จันทบุรี!J42"")"),0)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IFERROR(__xludf.DUMMYFUNCTION("IMPORTRANGE(""https://docs.google.com/spreadsheets/d/1SX6NBoVAgQJ6U1MVXOaj8PK2l7WJ3RER9xtqwdhxkhw/edit?usp=sharing"",""จันทบุรี!I43"")"),0)</f>
        <v>0</v>
      </c>
      <c r="J108" s="204">
        <f ca="1">IFERROR(__xludf.DUMMYFUNCTION("IMPORTRANGE(""https://docs.google.com/spreadsheets/d/1SX6NBoVAgQJ6U1MVXOaj8PK2l7WJ3RER9xtqwdhxkhw/edit?usp=sharing"",""จันทบุรี!J43"")"),0)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IFERROR(__xludf.DUMMYFUNCTION("IMPORTRANGE(""https://docs.google.com/spreadsheets/d/1SX6NBoVAgQJ6U1MVXOaj8PK2l7WJ3RER9xtqwdhxkhw/edit?usp=sharing"",""จันทบุรี!I44"")"),0)</f>
        <v>0</v>
      </c>
      <c r="J109" s="204">
        <f ca="1">IFERROR(__xludf.DUMMYFUNCTION("IMPORTRANGE(""https://docs.google.com/spreadsheets/d/1SX6NBoVAgQJ6U1MVXOaj8PK2l7WJ3RER9xtqwdhxkhw/edit?usp=sharing"",""จันทบุรี!J44"")"),0)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IFERROR(__xludf.DUMMYFUNCTION("IMPORTRANGE(""https://docs.google.com/spreadsheets/d/1SX6NBoVAgQJ6U1MVXOaj8PK2l7WJ3RER9xtqwdhxkhw/edit?usp=sharing"",""จันทบุรี!I45"")"),0)</f>
        <v>0</v>
      </c>
      <c r="J110" s="204">
        <f ca="1">IFERROR(__xludf.DUMMYFUNCTION("IMPORTRANGE(""https://docs.google.com/spreadsheets/d/1SX6NBoVAgQJ6U1MVXOaj8PK2l7WJ3RER9xtqwdhxkhw/edit?usp=sharing"",""จันทบุรี!J45"")"),0)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IFERROR(__xludf.DUMMYFUNCTION("IMPORTRANGE(""https://docs.google.com/spreadsheets/d/1SX6NBoVAgQJ6U1MVXOaj8PK2l7WJ3RER9xtqwdhxkhw/edit?usp=sharing"",""จันทบุรี!I46"")"),0)</f>
        <v>0</v>
      </c>
      <c r="J111" s="204">
        <f ca="1">IFERROR(__xludf.DUMMYFUNCTION("IMPORTRANGE(""https://docs.google.com/spreadsheets/d/1SX6NBoVAgQJ6U1MVXOaj8PK2l7WJ3RER9xtqwdhxkhw/edit?usp=sharing"",""จันทบุรี!J46"")"),0)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IFERROR(__xludf.DUMMYFUNCTION("IMPORTRANGE(""https://docs.google.com/spreadsheets/d/1SX6NBoVAgQJ6U1MVXOaj8PK2l7WJ3RER9xtqwdhxkhw/edit?usp=sharing"",""จันทบุรี!I47"")"),0)</f>
        <v>0</v>
      </c>
      <c r="J112" s="204">
        <f ca="1">IFERROR(__xludf.DUMMYFUNCTION("IMPORTRANGE(""https://docs.google.com/spreadsheets/d/1SX6NBoVAgQJ6U1MVXOaj8PK2l7WJ3RER9xtqwdhxkhw/edit?usp=sharing"",""จันทบุรี!J47"")"),0)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IFERROR(__xludf.DUMMYFUNCTION("IMPORTRANGE(""https://docs.google.com/spreadsheets/d/1SX6NBoVAgQJ6U1MVXOaj8PK2l7WJ3RER9xtqwdhxkhw/edit?usp=sharing"",""จันทบุรี!I48"")"),0)</f>
        <v>0</v>
      </c>
      <c r="J113" s="204">
        <f ca="1">IFERROR(__xludf.DUMMYFUNCTION("IMPORTRANGE(""https://docs.google.com/spreadsheets/d/1SX6NBoVAgQJ6U1MVXOaj8PK2l7WJ3RER9xtqwdhxkhw/edit?usp=sharing"",""จันทบุรี!J48"")"),0)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IFERROR(__xludf.DUMMYFUNCTION("IMPORTRANGE(""https://docs.google.com/spreadsheets/d/1SX6NBoVAgQJ6U1MVXOaj8PK2l7WJ3RER9xtqwdhxkhw/edit?usp=sharing"",""จันทบุรี!J49"")"),0)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IFERROR(__xludf.DUMMYFUNCTION("IMPORTRANGE(""https://docs.google.com/spreadsheets/d/1SX6NBoVAgQJ6U1MVXOaj8PK2l7WJ3RER9xtqwdhxkhw/edit?usp=sharing"",""จันทบุรี!J50"")"),0)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IFERROR(__xludf.DUMMYFUNCTION("IMPORTRANGE(""https://docs.google.com/spreadsheets/d/1SX6NBoVAgQJ6U1MVXOaj8PK2l7WJ3RER9xtqwdhxkhw/edit?usp=sharing"",""จันทบุรี!I52"")"),0)</f>
        <v>0</v>
      </c>
      <c r="J117" s="142">
        <f ca="1">IFERROR(__xludf.DUMMYFUNCTION("IMPORTRANGE(""https://docs.google.com/spreadsheets/d/1SX6NBoVAgQJ6U1MVXOaj8PK2l7WJ3RER9xtqwdhxkhw/edit?usp=sharing"",""จันทบุรี!J52"")"),0)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IFERROR(__xludf.DUMMYFUNCTION("IMPORTRANGE(""https://docs.google.com/spreadsheets/d/1Yj_ptqi66GCucihVvJfMjLAmec39IyEx_6qawtMGysU/edit?usp=sharing"",""สบก!BA60"")"),0)</f>
        <v>0</v>
      </c>
      <c r="N122" s="169">
        <f ca="1">IFERROR(__xludf.DUMMYFUNCTION("IMPORTRANGE(""https://docs.google.com/spreadsheets/d/1Yj_ptqi66GCucihVvJfMjLAmec39IyEx_6qawtMGysU/edit?usp=sharing"",""สบก!BB60"")"),0)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IFERROR(__xludf.DUMMYFUNCTION("IMPORTRANGE(""https://docs.google.com/spreadsheets/d/1Yj_ptqi66GCucihVvJfMjLAmec39IyEx_6qawtMGysU/edit?usp=sharing"",""สบก!AW60"")"),0)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IFERROR(__xludf.DUMMYFUNCTION("IMPORTRANGE(""https://docs.google.com/spreadsheets/d/1Yj_ptqi66GCucihVvJfMjLAmec39IyEx_6qawtMGysU/edit?usp=sharing"",""สบก!AX60"")"),0)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IFERROR(__xludf.DUMMYFUNCTION("IMPORTRANGE(""https://docs.google.com/spreadsheets/d/1Yj_ptqi66GCucihVvJfMjLAmec39IyEx_6qawtMGysU/edit?usp=sharing"",""สบก!AY60"")"),0)</f>
        <v>0</v>
      </c>
      <c r="M126" s="49"/>
      <c r="N126" s="49">
        <f ca="1">IFERROR(__xludf.DUMMYFUNCTION("IMPORTRANGE(""https://docs.google.com/spreadsheets/d/1Yj_ptqi66GCucihVvJfMjLAmec39IyEx_6qawtMGysU/edit?usp=sharing"",""สบก!BC60"")"),0)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241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IFERROR(__xludf.DUMMYFUNCTION("IMPORTRANGE(""https://docs.google.com/spreadsheets/d/1SX6NBoVAgQJ6U1MVXOaj8PK2l7WJ3RER9xtqwdhxkhw/edit?usp=sharing"",""จันทบุรี!J58"")"),0)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IFERROR(__xludf.DUMMYFUNCTION("IMPORTRANGE(""https://docs.google.com/spreadsheets/d/1SX6NBoVAgQJ6U1MVXOaj8PK2l7WJ3RER9xtqwdhxkhw/edit?usp=sharing"",""จันทบุรี!J59"")"),0)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IFERROR(__xludf.DUMMYFUNCTION("IMPORTRANGE(""https://docs.google.com/spreadsheets/d/1SX6NBoVAgQJ6U1MVXOaj8PK2l7WJ3RER9xtqwdhxkhw/edit?usp=sharing"",""จันทบุรี!J60"")"),0)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IFERROR(__xludf.DUMMYFUNCTION("IMPORTRANGE(""https://docs.google.com/spreadsheets/d/1SX6NBoVAgQJ6U1MVXOaj8PK2l7WJ3RER9xtqwdhxkhw/edit?usp=sharing"",""จันทบุรี!J61"")"),0)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IFERROR(__xludf.DUMMYFUNCTION("IMPORTRANGE(""https://docs.google.com/spreadsheets/d/1SX6NBoVAgQJ6U1MVXOaj8PK2l7WJ3RER9xtqwdhxkhw/edit?usp=sharing"",""จันทบุรี!I62"")"),0)</f>
        <v>0</v>
      </c>
      <c r="J132" s="204">
        <f ca="1">IFERROR(__xludf.DUMMYFUNCTION("IMPORTRANGE(""https://docs.google.com/spreadsheets/d/1SX6NBoVAgQJ6U1MVXOaj8PK2l7WJ3RER9xtqwdhxkhw/edit?usp=sharing"",""จันทบุรี!J62"")"),0)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IFERROR(__xludf.DUMMYFUNCTION("IMPORTRANGE(""https://docs.google.com/spreadsheets/d/1SX6NBoVAgQJ6U1MVXOaj8PK2l7WJ3RER9xtqwdhxkhw/edit?usp=sharing"",""จันทบุรี!I63"")"),0)</f>
        <v>0</v>
      </c>
      <c r="J133" s="204">
        <f ca="1">IFERROR(__xludf.DUMMYFUNCTION("IMPORTRANGE(""https://docs.google.com/spreadsheets/d/1SX6NBoVAgQJ6U1MVXOaj8PK2l7WJ3RER9xtqwdhxkhw/edit?usp=sharing"",""จันทบุรี!J63"")"),0)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IFERROR(__xludf.DUMMYFUNCTION("IMPORTRANGE(""https://docs.google.com/spreadsheets/d/1SX6NBoVAgQJ6U1MVXOaj8PK2l7WJ3RER9xtqwdhxkhw/edit?usp=sharing"",""จันทบุรี!J64"")"),0)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IFERROR(__xludf.DUMMYFUNCTION("IMPORTRANGE(""https://docs.google.com/spreadsheets/d/1SX6NBoVAgQJ6U1MVXOaj8PK2l7WJ3RER9xtqwdhxkhw/edit?usp=sharing"",""จันทบุรี!J65"")"),0)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IFERROR(__xludf.DUMMYFUNCTION("IMPORTRANGE(""https://docs.google.com/spreadsheets/d/1SX6NBoVAgQJ6U1MVXOaj8PK2l7WJ3RER9xtqwdhxkhw/edit?usp=sharing"",""จันทบุรี!I68"")"),20)</f>
        <v>20</v>
      </c>
      <c r="J138" s="267">
        <f ca="1">IFERROR(__xludf.DUMMYFUNCTION("IMPORTRANGE(""https://docs.google.com/spreadsheets/d/1SX6NBoVAgQJ6U1MVXOaj8PK2l7WJ3RER9xtqwdhxkhw/edit?usp=sharing"",""จันทบุรี!J68"")"),20)</f>
        <v>20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255400</v>
      </c>
      <c r="M140" s="152">
        <f t="shared" ca="1" si="64"/>
        <v>206425</v>
      </c>
      <c r="N140" s="152">
        <f t="shared" ca="1" si="64"/>
        <v>86281</v>
      </c>
      <c r="O140" s="151">
        <f t="shared" ref="O140:O142" ca="1" si="65">IF(L140&gt;0,N140*100/L140,0)</f>
        <v>33.782693813625684</v>
      </c>
      <c r="P140" s="151">
        <f t="shared" ref="P140:P142" ca="1" si="66">IF(M140&gt;0,N140*100/M140,0)</f>
        <v>41.797747365871381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255400</v>
      </c>
      <c r="M142" s="157">
        <f t="shared" ca="1" si="68"/>
        <v>206425</v>
      </c>
      <c r="N142" s="157">
        <f t="shared" ca="1" si="68"/>
        <v>86281</v>
      </c>
      <c r="O142" s="156">
        <f t="shared" ca="1" si="65"/>
        <v>33.782693813625684</v>
      </c>
      <c r="P142" s="156">
        <f t="shared" ca="1" si="66"/>
        <v>41.797747365871381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255400</v>
      </c>
      <c r="M144" s="168">
        <f ca="1">IFERROR(__xludf.DUMMYFUNCTION("IMPORTRANGE(""https://docs.google.com/spreadsheets/d/1Yj_ptqi66GCucihVvJfMjLAmec39IyEx_6qawtMGysU/edit?usp=sharing"",""สบก!BJ60"")"),206425)</f>
        <v>206425</v>
      </c>
      <c r="N144" s="169">
        <f ca="1">IFERROR(__xludf.DUMMYFUNCTION("IMPORTRANGE(""https://docs.google.com/spreadsheets/d/1Yj_ptqi66GCucihVvJfMjLAmec39IyEx_6qawtMGysU/edit?usp=sharing"",""สบก!BK60"")"),86281)</f>
        <v>86281</v>
      </c>
      <c r="O144" s="169">
        <f ca="1">IF(L144&gt;0,N144*100/L144,0)</f>
        <v>33.782693813625684</v>
      </c>
      <c r="P144" s="169">
        <f ca="1">IF(M144&gt;0,N144*100/M144,0)</f>
        <v>41.797747365871381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IFERROR(__xludf.DUMMYFUNCTION("IMPORTRANGE(""https://docs.google.com/spreadsheets/d/1Yj_ptqi66GCucihVvJfMjLAmec39IyEx_6qawtMGysU/edit?usp=sharing"",""สบก!BF60"")"),132000)</f>
        <v>132000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IFERROR(__xludf.DUMMYFUNCTION("IMPORTRANGE(""https://docs.google.com/spreadsheets/d/1Yj_ptqi66GCucihVvJfMjLAmec39IyEx_6qawtMGysU/edit?usp=sharing"",""สบก!BG60"")"),123400)</f>
        <v>123400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IFERROR(__xludf.DUMMYFUNCTION("IMPORTRANGE(""https://docs.google.com/spreadsheets/d/1Yj_ptqi66GCucihVvJfMjLAmec39IyEx_6qawtMGysU/edit?usp=sharing"",""สบก!BH60"")"),0)</f>
        <v>0</v>
      </c>
      <c r="M148" s="49"/>
      <c r="N148" s="49">
        <f ca="1">IFERROR(__xludf.DUMMYFUNCTION("IMPORTRANGE(""https://docs.google.com/spreadsheets/d/1Yj_ptqi66GCucihVvJfMjLAmec39IyEx_6qawtMGysU/edit?usp=sharing"",""สบก!BL60"")"),0)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IFERROR(__xludf.DUMMYFUNCTION("IMPORTRANGE(""https://docs.google.com/spreadsheets/d/1SX6NBoVAgQJ6U1MVXOaj8PK2l7WJ3RER9xtqwdhxkhw/edit?usp=sharing"",""จันทบุรี!I74"")"),4)</f>
        <v>4</v>
      </c>
      <c r="J149" s="275">
        <f ca="1">IFERROR(__xludf.DUMMYFUNCTION("IMPORTRANGE(""https://docs.google.com/spreadsheets/d/1SX6NBoVAgQJ6U1MVXOaj8PK2l7WJ3RER9xtqwdhxkhw/edit?usp=sharing"",""จันทบุรี!J74"")"),2)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IFERROR(__xludf.DUMMYFUNCTION("IMPORTRANGE(""https://docs.google.com/spreadsheets/d/1SX6NBoVAgQJ6U1MVXOaj8PK2l7WJ3RER9xtqwdhxkhw/edit?usp=sharing"",""จันทบุรี!J79"")"),0)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IFERROR(__xludf.DUMMYFUNCTION("IMPORTRANGE(""https://docs.google.com/spreadsheets/d/1SX6NBoVAgQJ6U1MVXOaj8PK2l7WJ3RER9xtqwdhxkhw/edit?usp=sharing"",""จันทบุรี!J80"")"),1)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IFERROR(__xludf.DUMMYFUNCTION("IMPORTRANGE(""https://docs.google.com/spreadsheets/d/1SX6NBoVAgQJ6U1MVXOaj8PK2l7WJ3RER9xtqwdhxkhw/edit?usp=sharing"",""จันทบุรี!J81"")"),1)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IFERROR(__xludf.DUMMYFUNCTION("IMPORTRANGE(""https://docs.google.com/spreadsheets/d/1SX6NBoVAgQJ6U1MVXOaj8PK2l7WJ3RER9xtqwdhxkhw/edit?usp=sharing"",""จันทบุรี!J82"")"),1)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IFERROR(__xludf.DUMMYFUNCTION("IMPORTRANGE(""https://docs.google.com/spreadsheets/d/1SX6NBoVAgQJ6U1MVXOaj8PK2l7WJ3RER9xtqwdhxkhw/edit?usp=sharing"",""จันทบุรี!I83"")"),4)</f>
        <v>4</v>
      </c>
      <c r="J158" s="189">
        <f ca="1">IFERROR(__xludf.DUMMYFUNCTION("IMPORTRANGE(""https://docs.google.com/spreadsheets/d/1SX6NBoVAgQJ6U1MVXOaj8PK2l7WJ3RER9xtqwdhxkhw/edit?usp=sharing"",""จันทบุรี!J83"")"),2)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IFERROR(__xludf.DUMMYFUNCTION("IMPORTRANGE(""https://docs.google.com/spreadsheets/d/1SX6NBoVAgQJ6U1MVXOaj8PK2l7WJ3RER9xtqwdhxkhw/edit?usp=sharing"",""จันทบุรี!J84"")"),150)</f>
        <v>150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IFERROR(__xludf.DUMMYFUNCTION("IMPORTRANGE(""https://docs.google.com/spreadsheets/d/1SX6NBoVAgQJ6U1MVXOaj8PK2l7WJ3RER9xtqwdhxkhw/edit?usp=sharing"",""จันทบุรี!J85"")"),150)</f>
        <v>150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IFERROR(__xludf.DUMMYFUNCTION("IMPORTRANGE(""https://docs.google.com/spreadsheets/d/1SX6NBoVAgQJ6U1MVXOaj8PK2l7WJ3RER9xtqwdhxkhw/edit?usp=sharing"",""จันทบุรี!J86"")"),0)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IFERROR(__xludf.DUMMYFUNCTION("IMPORTRANGE(""https://docs.google.com/spreadsheets/d/1SX6NBoVAgQJ6U1MVXOaj8PK2l7WJ3RER9xtqwdhxkhw/edit?usp=sharing"",""จันทบุรี!J87"")"),0)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IFERROR(__xludf.DUMMYFUNCTION("IMPORTRANGE(""https://docs.google.com/spreadsheets/d/1SX6NBoVAgQJ6U1MVXOaj8PK2l7WJ3RER9xtqwdhxkhw/edit?usp=sharing"",""จันทบุรี!J88"")"),0)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IFERROR(__xludf.DUMMYFUNCTION("IMPORTRANGE(""https://docs.google.com/spreadsheets/d/1SX6NBoVAgQJ6U1MVXOaj8PK2l7WJ3RER9xtqwdhxkhw/edit?usp=sharing"",""จันทบุรี!I89"")"),2)</f>
        <v>2</v>
      </c>
      <c r="J164" s="284">
        <f ca="1">IFERROR(__xludf.DUMMYFUNCTION("IMPORTRANGE(""https://docs.google.com/spreadsheets/d/1SX6NBoVAgQJ6U1MVXOaj8PK2l7WJ3RER9xtqwdhxkhw/edit?usp=sharing"",""จันทบุรี!J89"")"),2)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IFERROR(__xludf.DUMMYFUNCTION("IMPORTRANGE(""https://docs.google.com/spreadsheets/d/1SX6NBoVAgQJ6U1MVXOaj8PK2l7WJ3RER9xtqwdhxkhw/edit?usp=sharing"",""จันทบุรี!J94"")"),0)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IFERROR(__xludf.DUMMYFUNCTION("IMPORTRANGE(""https://docs.google.com/spreadsheets/d/1SX6NBoVAgQJ6U1MVXOaj8PK2l7WJ3RER9xtqwdhxkhw/edit?usp=sharing"",""จันทบุรี!J95"")"),1)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IFERROR(__xludf.DUMMYFUNCTION("IMPORTRANGE(""https://docs.google.com/spreadsheets/d/1SX6NBoVAgQJ6U1MVXOaj8PK2l7WJ3RER9xtqwdhxkhw/edit?usp=sharing"",""จันทบุรี!J96"")"),1)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IFERROR(__xludf.DUMMYFUNCTION("IMPORTRANGE(""https://docs.google.com/spreadsheets/d/1SX6NBoVAgQJ6U1MVXOaj8PK2l7WJ3RER9xtqwdhxkhw/edit?usp=sharing"",""จันทบุรี!J97"")"),1)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IFERROR(__xludf.DUMMYFUNCTION("IMPORTRANGE(""https://docs.google.com/spreadsheets/d/1SX6NBoVAgQJ6U1MVXOaj8PK2l7WJ3RER9xtqwdhxkhw/edit?usp=sharing"",""จันทบุรี!I98"")"),2)</f>
        <v>2</v>
      </c>
      <c r="J173" s="189">
        <f ca="1">IFERROR(__xludf.DUMMYFUNCTION("IMPORTRANGE(""https://docs.google.com/spreadsheets/d/1SX6NBoVAgQJ6U1MVXOaj8PK2l7WJ3RER9xtqwdhxkhw/edit?usp=sharing"",""จันทบุรี!J98"")"),2)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IFERROR(__xludf.DUMMYFUNCTION("IMPORTRANGE(""https://docs.google.com/spreadsheets/d/1SX6NBoVAgQJ6U1MVXOaj8PK2l7WJ3RER9xtqwdhxkhw/edit?usp=sharing"",""จันทบุรี!J99"")"),0)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IFERROR(__xludf.DUMMYFUNCTION("IMPORTRANGE(""https://docs.google.com/spreadsheets/d/1SX6NBoVAgQJ6U1MVXOaj8PK2l7WJ3RER9xtqwdhxkhw/edit?usp=sharing"",""จันทบุรี!J100"")"),0)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IFERROR(__xludf.DUMMYFUNCTION("IMPORTRANGE(""https://docs.google.com/spreadsheets/d/1SX6NBoVAgQJ6U1MVXOaj8PK2l7WJ3RER9xtqwdhxkhw/edit?usp=sharing"",""จันทบุรี!I101"")"),1)</f>
        <v>1</v>
      </c>
      <c r="J176" s="284">
        <f ca="1">IFERROR(__xludf.DUMMYFUNCTION("IMPORTRANGE(""https://docs.google.com/spreadsheets/d/1SX6NBoVAgQJ6U1MVXOaj8PK2l7WJ3RER9xtqwdhxkhw/edit?usp=sharing"",""จันทบุรี!J101"")"),1)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IFERROR(__xludf.DUMMYFUNCTION("IMPORTRANGE(""https://docs.google.com/spreadsheets/d/1SX6NBoVAgQJ6U1MVXOaj8PK2l7WJ3RER9xtqwdhxkhw/edit?usp=sharing"",""จันทบุรี!J106"")"),0)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IFERROR(__xludf.DUMMYFUNCTION("IMPORTRANGE(""https://docs.google.com/spreadsheets/d/1SX6NBoVAgQJ6U1MVXOaj8PK2l7WJ3RER9xtqwdhxkhw/edit?usp=sharing"",""จันทบุรี!J107"")"),1)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IFERROR(__xludf.DUMMYFUNCTION("IMPORTRANGE(""https://docs.google.com/spreadsheets/d/1SX6NBoVAgQJ6U1MVXOaj8PK2l7WJ3RER9xtqwdhxkhw/edit?usp=sharing"",""จันทบุรี!J108"")"),1)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IFERROR(__xludf.DUMMYFUNCTION("IMPORTRANGE(""https://docs.google.com/spreadsheets/d/1SX6NBoVAgQJ6U1MVXOaj8PK2l7WJ3RER9xtqwdhxkhw/edit?usp=sharing"",""จันทบุรี!J109"")"),0)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IFERROR(__xludf.DUMMYFUNCTION("IMPORTRANGE(""https://docs.google.com/spreadsheets/d/1SX6NBoVAgQJ6U1MVXOaj8PK2l7WJ3RER9xtqwdhxkhw/edit?usp=sharing"",""จันทบุรี!I110"")"),1)</f>
        <v>1</v>
      </c>
      <c r="J185" s="204">
        <f ca="1">IFERROR(__xludf.DUMMYFUNCTION("IMPORTRANGE(""https://docs.google.com/spreadsheets/d/1SX6NBoVAgQJ6U1MVXOaj8PK2l7WJ3RER9xtqwdhxkhw/edit?usp=sharing"",""จันทบุรี!J110"")"),0)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IFERROR(__xludf.DUMMYFUNCTION("IMPORTRANGE(""https://docs.google.com/spreadsheets/d/1SX6NBoVAgQJ6U1MVXOaj8PK2l7WJ3RER9xtqwdhxkhw/edit?usp=sharing"",""จันทบุรี!I111"")"),1)</f>
        <v>1</v>
      </c>
      <c r="J186" s="204">
        <f ca="1">IFERROR(__xludf.DUMMYFUNCTION("IMPORTRANGE(""https://docs.google.com/spreadsheets/d/1SX6NBoVAgQJ6U1MVXOaj8PK2l7WJ3RER9xtqwdhxkhw/edit?usp=sharing"",""จันทบุรี!J111"")"),1)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IFERROR(__xludf.DUMMYFUNCTION("IMPORTRANGE(""https://docs.google.com/spreadsheets/d/1SX6NBoVAgQJ6U1MVXOaj8PK2l7WJ3RER9xtqwdhxkhw/edit?usp=sharing"",""จันทบุรี!J112"")"),0)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IFERROR(__xludf.DUMMYFUNCTION("IMPORTRANGE(""https://docs.google.com/spreadsheets/d/1SX6NBoVAgQJ6U1MVXOaj8PK2l7WJ3RER9xtqwdhxkhw/edit?usp=sharing"",""จันทบุรี!J113"")"),0)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IFERROR(__xludf.DUMMYFUNCTION("IMPORTRANGE(""https://docs.google.com/spreadsheets/d/1SX6NBoVAgQJ6U1MVXOaj8PK2l7WJ3RER9xtqwdhxkhw/edit?usp=sharing"",""จันทบุรี!I114"")"),12800)</f>
        <v>12800</v>
      </c>
      <c r="J189" s="284">
        <f ca="1">IFERROR(__xludf.DUMMYFUNCTION("IMPORTRANGE(""https://docs.google.com/spreadsheets/d/1SX6NBoVAgQJ6U1MVXOaj8PK2l7WJ3RER9xtqwdhxkhw/edit?usp=sharing"",""จันทบุรี!J114"")"),0)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IFERROR(__xludf.DUMMYFUNCTION("IMPORTRANGE(""https://docs.google.com/spreadsheets/d/1SX6NBoVAgQJ6U1MVXOaj8PK2l7WJ3RER9xtqwdhxkhw/edit?usp=sharing"",""จันทบุรี!J119"")"),0)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IFERROR(__xludf.DUMMYFUNCTION("IMPORTRANGE(""https://docs.google.com/spreadsheets/d/1SX6NBoVAgQJ6U1MVXOaj8PK2l7WJ3RER9xtqwdhxkhw/edit?usp=sharing"",""จันทบุรี!J120"")"),1)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IFERROR(__xludf.DUMMYFUNCTION("IMPORTRANGE(""https://docs.google.com/spreadsheets/d/1SX6NBoVAgQJ6U1MVXOaj8PK2l7WJ3RER9xtqwdhxkhw/edit?usp=sharing"",""จันทบุรี!J121"")"),1)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IFERROR(__xludf.DUMMYFUNCTION("IMPORTRANGE(""https://docs.google.com/spreadsheets/d/1SX6NBoVAgQJ6U1MVXOaj8PK2l7WJ3RER9xtqwdhxkhw/edit?usp=sharing"",""จันทบุรี!J122"")"),1)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IFERROR(__xludf.DUMMYFUNCTION("IMPORTRANGE(""https://docs.google.com/spreadsheets/d/1SX6NBoVAgQJ6U1MVXOaj8PK2l7WJ3RER9xtqwdhxkhw/edit?usp=sharing"",""จันทบุรี!I124"")"),12800)</f>
        <v>12800</v>
      </c>
      <c r="J199" s="189">
        <f ca="1">IFERROR(__xludf.DUMMYFUNCTION("IMPORTRANGE(""https://docs.google.com/spreadsheets/d/1SX6NBoVAgQJ6U1MVXOaj8PK2l7WJ3RER9xtqwdhxkhw/edit?usp=sharing"",""จันทบุรี!J124"")"),12800)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IFERROR(__xludf.DUMMYFUNCTION("IMPORTRANGE(""https://docs.google.com/spreadsheets/d/1SX6NBoVAgQJ6U1MVXOaj8PK2l7WJ3RER9xtqwdhxkhw/edit?usp=sharing"",""จันทบุรี!I125"")"),12800)</f>
        <v>12800</v>
      </c>
      <c r="J200" s="189">
        <f ca="1">IFERROR(__xludf.DUMMYFUNCTION("IMPORTRANGE(""https://docs.google.com/spreadsheets/d/1SX6NBoVAgQJ6U1MVXOaj8PK2l7WJ3RER9xtqwdhxkhw/edit?usp=sharing"",""จันทบุรี!J125"")"),0)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IFERROR(__xludf.DUMMYFUNCTION("IMPORTRANGE(""https://docs.google.com/spreadsheets/d/1SX6NBoVAgQJ6U1MVXOaj8PK2l7WJ3RER9xtqwdhxkhw/edit?usp=sharing"",""จันทบุรี!I126"")"),0)</f>
        <v>0</v>
      </c>
      <c r="J201" s="189">
        <f ca="1">IFERROR(__xludf.DUMMYFUNCTION("IMPORTRANGE(""https://docs.google.com/spreadsheets/d/1SX6NBoVAgQJ6U1MVXOaj8PK2l7WJ3RER9xtqwdhxkhw/edit?usp=sharing"",""จันทบุรี!J126"")"),0)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IFERROR(__xludf.DUMMYFUNCTION("IMPORTRANGE(""https://docs.google.com/spreadsheets/d/1SX6NBoVAgQJ6U1MVXOaj8PK2l7WJ3RER9xtqwdhxkhw/edit?usp=sharing"",""จันทบุรี!J127"")"),0)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IFERROR(__xludf.DUMMYFUNCTION("IMPORTRANGE(""https://docs.google.com/spreadsheets/d/1SX6NBoVAgQJ6U1MVXOaj8PK2l7WJ3RER9xtqwdhxkhw/edit?usp=sharing"",""จันทบุรี!J128"")"),0)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IFERROR(__xludf.DUMMYFUNCTION("IMPORTRANGE(""https://docs.google.com/spreadsheets/d/1SX6NBoVAgQJ6U1MVXOaj8PK2l7WJ3RER9xtqwdhxkhw/edit?usp=sharing"",""จันทบุรี!I129"")"),20)</f>
        <v>20</v>
      </c>
      <c r="J204" s="284">
        <f ca="1">IFERROR(__xludf.DUMMYFUNCTION("IMPORTRANGE(""https://docs.google.com/spreadsheets/d/1SX6NBoVAgQJ6U1MVXOaj8PK2l7WJ3RER9xtqwdhxkhw/edit?usp=sharing"",""จันทบุรี!J129"")"),20)</f>
        <v>20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IFERROR(__xludf.DUMMYFUNCTION("IMPORTRANGE(""https://docs.google.com/spreadsheets/d/1SX6NBoVAgQJ6U1MVXOaj8PK2l7WJ3RER9xtqwdhxkhw/edit?usp=sharing"",""จันทบุรี!J134"")"),0)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IFERROR(__xludf.DUMMYFUNCTION("IMPORTRANGE(""https://docs.google.com/spreadsheets/d/1SX6NBoVAgQJ6U1MVXOaj8PK2l7WJ3RER9xtqwdhxkhw/edit?usp=sharing"",""จันทบุรี!J135"")"),1)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IFERROR(__xludf.DUMMYFUNCTION("IMPORTRANGE(""https://docs.google.com/spreadsheets/d/1SX6NBoVAgQJ6U1MVXOaj8PK2l7WJ3RER9xtqwdhxkhw/edit?usp=sharing"",""จันทบุรี!J136"")"),1)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IFERROR(__xludf.DUMMYFUNCTION("IMPORTRANGE(""https://docs.google.com/spreadsheets/d/1SX6NBoVAgQJ6U1MVXOaj8PK2l7WJ3RER9xtqwdhxkhw/edit?usp=sharing"",""จันทบุรี!J137"")"),1)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IFERROR(__xludf.DUMMYFUNCTION("IMPORTRANGE(""https://docs.google.com/spreadsheets/d/1SX6NBoVAgQJ6U1MVXOaj8PK2l7WJ3RER9xtqwdhxkhw/edit?usp=sharing"",""จันทบุรี!I138"")"),20)</f>
        <v>20</v>
      </c>
      <c r="J213" s="204">
        <f ca="1">IFERROR(__xludf.DUMMYFUNCTION("IMPORTRANGE(""https://docs.google.com/spreadsheets/d/1SX6NBoVAgQJ6U1MVXOaj8PK2l7WJ3RER9xtqwdhxkhw/edit?usp=sharing"",""จันทบุรี!J138"")"),20)</f>
        <v>20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IFERROR(__xludf.DUMMYFUNCTION("IMPORTRANGE(""https://docs.google.com/spreadsheets/d/1SX6NBoVAgQJ6U1MVXOaj8PK2l7WJ3RER9xtqwdhxkhw/edit?usp=sharing"",""จันทบุรี!I140"")"),0)</f>
        <v>0</v>
      </c>
      <c r="J215" s="204">
        <f ca="1">IFERROR(__xludf.DUMMYFUNCTION("IMPORTRANGE(""https://docs.google.com/spreadsheets/d/1SX6NBoVAgQJ6U1MVXOaj8PK2l7WJ3RER9xtqwdhxkhw/edit?usp=sharing"",""จันทบุรี!J140"")"),0)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IFERROR(__xludf.DUMMYFUNCTION("IMPORTRANGE(""https://docs.google.com/spreadsheets/d/1SX6NBoVAgQJ6U1MVXOaj8PK2l7WJ3RER9xtqwdhxkhw/edit?usp=sharing"",""จันทบุรี!I141"")"),0)</f>
        <v>0</v>
      </c>
      <c r="J216" s="204">
        <f ca="1">IFERROR(__xludf.DUMMYFUNCTION("IMPORTRANGE(""https://docs.google.com/spreadsheets/d/1SX6NBoVAgQJ6U1MVXOaj8PK2l7WJ3RER9xtqwdhxkhw/edit?usp=sharing"",""จันทบุรี!J141"")"),0)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IFERROR(__xludf.DUMMYFUNCTION("IMPORTRANGE(""https://docs.google.com/spreadsheets/d/1SX6NBoVAgQJ6U1MVXOaj8PK2l7WJ3RER9xtqwdhxkhw/edit?usp=sharing"",""จันทบุรี!J142"")"),0)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IFERROR(__xludf.DUMMYFUNCTION("IMPORTRANGE(""https://docs.google.com/spreadsheets/d/1SX6NBoVAgQJ6U1MVXOaj8PK2l7WJ3RER9xtqwdhxkhw/edit?usp=sharing"",""จันทบุรี!J143"")"),0)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IFERROR(__xludf.DUMMYFUNCTION("IMPORTRANGE(""https://docs.google.com/spreadsheets/d/1SX6NBoVAgQJ6U1MVXOaj8PK2l7WJ3RER9xtqwdhxkhw/edit?usp=sharing"",""จันทบุรี!I144"")"),13)</f>
        <v>13</v>
      </c>
      <c r="J219" s="267">
        <f ca="1">IFERROR(__xludf.DUMMYFUNCTION("IMPORTRANGE(""https://docs.google.com/spreadsheets/d/1SX6NBoVAgQJ6U1MVXOaj8PK2l7WJ3RER9xtqwdhxkhw/edit?usp=sharing"",""จันทบุรี!J144"")"),13)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IFERROR(__xludf.DUMMYFUNCTION("IMPORTRANGE(""https://docs.google.com/spreadsheets/d/1Yj_ptqi66GCucihVvJfMjLAmec39IyEx_6qawtMGysU/edit?usp=sharing"",""สบก!BS60"")"),19295)</f>
        <v>19295</v>
      </c>
      <c r="N224" s="169">
        <f ca="1">IFERROR(__xludf.DUMMYFUNCTION("IMPORTRANGE(""https://docs.google.com/spreadsheets/d/1Yj_ptqi66GCucihVvJfMjLAmec39IyEx_6qawtMGysU/edit?usp=sharing"",""สบก!BT60"")"),19295)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IFERROR(__xludf.DUMMYFUNCTION("IMPORTRANGE(""https://docs.google.com/spreadsheets/d/1Yj_ptqi66GCucihVvJfMjLAmec39IyEx_6qawtMGysU/edit?usp=sharing"",""สบก!BO60"")"),0)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IFERROR(__xludf.DUMMYFUNCTION("IMPORTRANGE(""https://docs.google.com/spreadsheets/d/1Yj_ptqi66GCucihVvJfMjLAmec39IyEx_6qawtMGysU/edit?usp=sharing"",""สบก!BP60"")"),19295)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IFERROR(__xludf.DUMMYFUNCTION("IMPORTRANGE(""https://docs.google.com/spreadsheets/d/1Yj_ptqi66GCucihVvJfMjLAmec39IyEx_6qawtMGysU/edit?usp=sharing"",""สบก!BQ60"")"),0)</f>
        <v>0</v>
      </c>
      <c r="M228" s="49"/>
      <c r="N228" s="49">
        <f ca="1">IFERROR(__xludf.DUMMYFUNCTION("IMPORTRANGE(""https://docs.google.com/spreadsheets/d/1Yj_ptqi66GCucihVvJfMjLAmec39IyEx_6qawtMGysU/edit?usp=sharing"",""สบก!BU60"")"),0)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IFERROR(__xludf.DUMMYFUNCTION("IMPORTRANGE(""https://docs.google.com/spreadsheets/d/1SX6NBoVAgQJ6U1MVXOaj8PK2l7WJ3RER9xtqwdhxkhw/edit?usp=sharing"",""จันทบุรี!I149"")"),13)</f>
        <v>13</v>
      </c>
      <c r="J229" s="267">
        <f ca="1">IFERROR(__xludf.DUMMYFUNCTION("IMPORTRANGE(""https://docs.google.com/spreadsheets/d/1SX6NBoVAgQJ6U1MVXOaj8PK2l7WJ3RER9xtqwdhxkhw/edit?usp=sharing"",""จันทบุรี!J149"")"),13)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IFERROR(__xludf.DUMMYFUNCTION("IMPORTRANGE(""https://docs.google.com/spreadsheets/d/1SX6NBoVAgQJ6U1MVXOaj8PK2l7WJ3RER9xtqwdhxkhw/edit?usp=sharing"",""จันทบุรี!J151"")"),0)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IFERROR(__xludf.DUMMYFUNCTION("IMPORTRANGE(""https://docs.google.com/spreadsheets/d/1SX6NBoVAgQJ6U1MVXOaj8PK2l7WJ3RER9xtqwdhxkhw/edit?usp=sharing"",""จันทบุรี!J152"")"),1)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IFERROR(__xludf.DUMMYFUNCTION("IMPORTRANGE(""https://docs.google.com/spreadsheets/d/1SX6NBoVAgQJ6U1MVXOaj8PK2l7WJ3RER9xtqwdhxkhw/edit?usp=sharing"",""จันทบุรี!J153"")"),1)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IFERROR(__xludf.DUMMYFUNCTION("IMPORTRANGE(""https://docs.google.com/spreadsheets/d/1SX6NBoVAgQJ6U1MVXOaj8PK2l7WJ3RER9xtqwdhxkhw/edit?usp=sharing"",""จันทบุรี!J154"")"),1)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IFERROR(__xludf.DUMMYFUNCTION("IMPORTRANGE(""https://docs.google.com/spreadsheets/d/1SX6NBoVAgQJ6U1MVXOaj8PK2l7WJ3RER9xtqwdhxkhw/edit?usp=sharing"",""จันทบุรี!I155"")"),13)</f>
        <v>13</v>
      </c>
      <c r="J235" s="189">
        <f ca="1">IFERROR(__xludf.DUMMYFUNCTION("IMPORTRANGE(""https://docs.google.com/spreadsheets/d/1SX6NBoVAgQJ6U1MVXOaj8PK2l7WJ3RER9xtqwdhxkhw/edit?usp=sharing"",""จันทบุรี!J155"")"),13)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IFERROR(__xludf.DUMMYFUNCTION("IMPORTRANGE(""https://docs.google.com/spreadsheets/d/1SX6NBoVAgQJ6U1MVXOaj8PK2l7WJ3RER9xtqwdhxkhw/edit?usp=sharing"",""จันทบุรี!J156"")"),0)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IFERROR(__xludf.DUMMYFUNCTION("IMPORTRANGE(""https://docs.google.com/spreadsheets/d/1SX6NBoVAgQJ6U1MVXOaj8PK2l7WJ3RER9xtqwdhxkhw/edit?usp=sharing"",""จันทบุรี!J157"")"),0)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IFERROR(__xludf.DUMMYFUNCTION("IMPORTRANGE(""https://docs.google.com/spreadsheets/d/1SX6NBoVAgQJ6U1MVXOaj8PK2l7WJ3RER9xtqwdhxkhw/edit?usp=sharing"",""จันทบุรี!I158"")"),0)</f>
        <v>0</v>
      </c>
      <c r="J238" s="267">
        <f ca="1">IFERROR(__xludf.DUMMYFUNCTION("IMPORTRANGE(""https://docs.google.com/spreadsheets/d/1SX6NBoVAgQJ6U1MVXOaj8PK2l7WJ3RER9xtqwdhxkhw/edit?usp=sharing"",""จันทบุรี!J158"")"),0)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IFERROR(__xludf.DUMMYFUNCTION("IMPORTRANGE(""https://docs.google.com/spreadsheets/d/1SX6NBoVAgQJ6U1MVXOaj8PK2l7WJ3RER9xtqwdhxkhw/edit?usp=sharing"",""จันทบุรี!J159"")"),"")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IFERROR(__xludf.DUMMYFUNCTION("IMPORTRANGE(""https://docs.google.com/spreadsheets/d/1SX6NBoVAgQJ6U1MVXOaj8PK2l7WJ3RER9xtqwdhxkhw/edit?usp=sharing"",""จันทบุรี!J161"")"),0)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IFERROR(__xludf.DUMMYFUNCTION("IMPORTRANGE(""https://docs.google.com/spreadsheets/d/1SX6NBoVAgQJ6U1MVXOaj8PK2l7WJ3RER9xtqwdhxkhw/edit?usp=sharing"",""จันทบุรี!J162"")"),0)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IFERROR(__xludf.DUMMYFUNCTION("IMPORTRANGE(""https://docs.google.com/spreadsheets/d/1SX6NBoVAgQJ6U1MVXOaj8PK2l7WJ3RER9xtqwdhxkhw/edit?usp=sharing"",""จันทบุรี!J163"")"),0)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IFERROR(__xludf.DUMMYFUNCTION("IMPORTRANGE(""https://docs.google.com/spreadsheets/d/1SX6NBoVAgQJ6U1MVXOaj8PK2l7WJ3RER9xtqwdhxkhw/edit?usp=sharing"",""จันทบุรี!I164"")"),0)</f>
        <v>0</v>
      </c>
      <c r="J244" s="188">
        <f ca="1">IFERROR(__xludf.DUMMYFUNCTION("IMPORTRANGE(""https://docs.google.com/spreadsheets/d/1SX6NBoVAgQJ6U1MVXOaj8PK2l7WJ3RER9xtqwdhxkhw/edit?usp=sharing"",""จันทบุรี!J164"")"),0)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IFERROR(__xludf.DUMMYFUNCTION("IMPORTRANGE(""https://docs.google.com/spreadsheets/d/1SX6NBoVAgQJ6U1MVXOaj8PK2l7WJ3RER9xtqwdhxkhw/edit?usp=sharing"",""จันทบุรี!J165"")"),0)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IFERROR(__xludf.DUMMYFUNCTION("IMPORTRANGE(""https://docs.google.com/spreadsheets/d/1SX6NBoVAgQJ6U1MVXOaj8PK2l7WJ3RER9xtqwdhxkhw/edit?usp=sharing"",""จันทบุรี!J166"")"),0)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IFERROR(__xludf.DUMMYFUNCTION("IMPORTRANGE(""https://docs.google.com/spreadsheets/d/1SX6NBoVAgQJ6U1MVXOaj8PK2l7WJ3RER9xtqwdhxkhw/edit?usp=sharing"",""จันทบุรี!I169"")"),25)</f>
        <v>25</v>
      </c>
      <c r="J249" s="316">
        <f ca="1">IFERROR(__xludf.DUMMYFUNCTION("IMPORTRANGE(""https://docs.google.com/spreadsheets/d/1SX6NBoVAgQJ6U1MVXOaj8PK2l7WJ3RER9xtqwdhxkhw/edit?usp=sharing"",""จันทบุรี!J169"")"),25)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177000</v>
      </c>
      <c r="N250" s="152">
        <f t="shared" ca="1" si="77"/>
        <v>61393</v>
      </c>
      <c r="O250" s="151">
        <f t="shared" ref="O250:O252" ca="1" si="78">IF(L250&gt;0,N250*100/L250,0)</f>
        <v>30.850753768844221</v>
      </c>
      <c r="P250" s="151">
        <f t="shared" ref="P250:P252" ca="1" si="79">IF(M250&gt;0,N250*100/M250,0)</f>
        <v>34.685310734463279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177000</v>
      </c>
      <c r="N252" s="157">
        <f t="shared" ca="1" si="81"/>
        <v>61393</v>
      </c>
      <c r="O252" s="156">
        <f t="shared" ca="1" si="78"/>
        <v>30.850753768844221</v>
      </c>
      <c r="P252" s="156">
        <f t="shared" ca="1" si="79"/>
        <v>34.685310734463279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IFERROR(__xludf.DUMMYFUNCTION("IMPORTRANGE(""https://docs.google.com/spreadsheets/d/1Yj_ptqi66GCucihVvJfMjLAmec39IyEx_6qawtMGysU/edit?usp=sharing"",""สบก!CB60"")"),177000)</f>
        <v>177000</v>
      </c>
      <c r="N254" s="169">
        <f ca="1">IFERROR(__xludf.DUMMYFUNCTION("IMPORTRANGE(""https://docs.google.com/spreadsheets/d/1Yj_ptqi66GCucihVvJfMjLAmec39IyEx_6qawtMGysU/edit?usp=sharing"",""สบก!CC60"")"),61393)</f>
        <v>61393</v>
      </c>
      <c r="O254" s="169">
        <f ca="1">IF(L254&gt;0,N254*100/L254,0)</f>
        <v>30.850753768844221</v>
      </c>
      <c r="P254" s="169">
        <f ca="1">IF(M254&gt;0,N254*100/M254,0)</f>
        <v>34.685310734463279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IFERROR(__xludf.DUMMYFUNCTION("IMPORTRANGE(""https://docs.google.com/spreadsheets/d/1Yj_ptqi66GCucihVvJfMjLAmec39IyEx_6qawtMGysU/edit?usp=sharing"",""สบก!BX60"")"),0)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IFERROR(__xludf.DUMMYFUNCTION("IMPORTRANGE(""https://docs.google.com/spreadsheets/d/1Yj_ptqi66GCucihVvJfMjLAmec39IyEx_6qawtMGysU/edit?usp=sharing"",""สบก!BY60"")"),199000)</f>
        <v>199000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IFERROR(__xludf.DUMMYFUNCTION("IMPORTRANGE(""https://docs.google.com/spreadsheets/d/1Yj_ptqi66GCucihVvJfMjLAmec39IyEx_6qawtMGysU/edit?usp=sharing"",""สบก!BZ60"")"),0)</f>
        <v>0</v>
      </c>
      <c r="M258" s="49"/>
      <c r="N258" s="49">
        <f ca="1">IFERROR(__xludf.DUMMYFUNCTION("IMPORTRANGE(""https://docs.google.com/spreadsheets/d/1Yj_ptqi66GCucihVvJfMjLAmec39IyEx_6qawtMGysU/edit?usp=sharing"",""สบก!CD60"")"),0)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IFERROR(__xludf.DUMMYFUNCTION("IMPORTRANGE(""https://docs.google.com/spreadsheets/d/1SX6NBoVAgQJ6U1MVXOaj8PK2l7WJ3RER9xtqwdhxkhw/edit?usp=sharing"",""จันทบุรี!J175"")"),0)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IFERROR(__xludf.DUMMYFUNCTION("IMPORTRANGE(""https://docs.google.com/spreadsheets/d/1SX6NBoVAgQJ6U1MVXOaj8PK2l7WJ3RER9xtqwdhxkhw/edit?usp=sharing"",""จันทบุรี!J176"")"),1)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IFERROR(__xludf.DUMMYFUNCTION("IMPORTRANGE(""https://docs.google.com/spreadsheets/d/1SX6NBoVAgQJ6U1MVXOaj8PK2l7WJ3RER9xtqwdhxkhw/edit?usp=sharing"",""จันทบุรี!J177"")"),1)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IFERROR(__xludf.DUMMYFUNCTION("IMPORTRANGE(""https://docs.google.com/spreadsheets/d/1SX6NBoVAgQJ6U1MVXOaj8PK2l7WJ3RER9xtqwdhxkhw/edit?usp=sharing"",""จันทบุรี!J178"")"),1)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IFERROR(__xludf.DUMMYFUNCTION("IMPORTRANGE(""https://docs.google.com/spreadsheets/d/1SX6NBoVAgQJ6U1MVXOaj8PK2l7WJ3RER9xtqwdhxkhw/edit?usp=sharing"",""จันทบุรี!I179"")"),1)</f>
        <v>1</v>
      </c>
      <c r="J264" s="189">
        <f ca="1">IFERROR(__xludf.DUMMYFUNCTION("IMPORTRANGE(""https://docs.google.com/spreadsheets/d/1SX6NBoVAgQJ6U1MVXOaj8PK2l7WJ3RER9xtqwdhxkhw/edit?usp=sharing"",""จันทบุรี!J179"")"),1)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IFERROR(__xludf.DUMMYFUNCTION("IMPORTRANGE(""https://docs.google.com/spreadsheets/d/1SX6NBoVAgQJ6U1MVXOaj8PK2l7WJ3RER9xtqwdhxkhw/edit?usp=sharing"",""จันทบุรี!I180"")"),25)</f>
        <v>25</v>
      </c>
      <c r="J265" s="189">
        <f ca="1">IFERROR(__xludf.DUMMYFUNCTION("IMPORTRANGE(""https://docs.google.com/spreadsheets/d/1SX6NBoVAgQJ6U1MVXOaj8PK2l7WJ3RER9xtqwdhxkhw/edit?usp=sharing"",""จันทบุรี!J180"")"),25)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IFERROR(__xludf.DUMMYFUNCTION("IMPORTRANGE(""https://docs.google.com/spreadsheets/d/1SX6NBoVAgQJ6U1MVXOaj8PK2l7WJ3RER9xtqwdhxkhw/edit?usp=sharing"",""จันทบุรี!I181"")"),25)</f>
        <v>25</v>
      </c>
      <c r="J266" s="189">
        <f ca="1">IFERROR(__xludf.DUMMYFUNCTION("IMPORTRANGE(""https://docs.google.com/spreadsheets/d/1SX6NBoVAgQJ6U1MVXOaj8PK2l7WJ3RER9xtqwdhxkhw/edit?usp=sharing"",""จันทบุรี!J181"")"),0)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IFERROR(__xludf.DUMMYFUNCTION("IMPORTRANGE(""https://docs.google.com/spreadsheets/d/1SX6NBoVAgQJ6U1MVXOaj8PK2l7WJ3RER9xtqwdhxkhw/edit?usp=sharing"",""จันทบุรี!I182"")"),1)</f>
        <v>1</v>
      </c>
      <c r="J267" s="189">
        <f ca="1">IFERROR(__xludf.DUMMYFUNCTION("IMPORTRANGE(""https://docs.google.com/spreadsheets/d/1SX6NBoVAgQJ6U1MVXOaj8PK2l7WJ3RER9xtqwdhxkhw/edit?usp=sharing"",""จันทบุรี!J182"")"),1)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IFERROR(__xludf.DUMMYFUNCTION("IMPORTRANGE(""https://docs.google.com/spreadsheets/d/1SX6NBoVAgQJ6U1MVXOaj8PK2l7WJ3RER9xtqwdhxkhw/edit?usp=sharing"",""จันทบุรี!J183"")"),0)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IFERROR(__xludf.DUMMYFUNCTION("IMPORTRANGE(""https://docs.google.com/spreadsheets/d/1SX6NBoVAgQJ6U1MVXOaj8PK2l7WJ3RER9xtqwdhxkhw/edit?usp=sharing"",""จันทบุรี!J184"")"),0)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IFERROR(__xludf.DUMMYFUNCTION("IMPORTRANGE(""https://docs.google.com/spreadsheets/d/1SX6NBoVAgQJ6U1MVXOaj8PK2l7WJ3RER9xtqwdhxkhw/edit?usp=sharing"",""จันทบุรี!I185"")"),15)</f>
        <v>15</v>
      </c>
      <c r="J270" s="316">
        <f ca="1">IFERROR(__xludf.DUMMYFUNCTION("IMPORTRANGE(""https://docs.google.com/spreadsheets/d/1SX6NBoVAgQJ6U1MVXOaj8PK2l7WJ3RER9xtqwdhxkhw/edit?usp=sharing"",""จันทบุรี!J185"")"),15)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28790</v>
      </c>
      <c r="O271" s="151">
        <f t="shared" ref="O271:O273" ca="1" si="84">IF(L271&gt;0,N271*100/L271,0)</f>
        <v>52.155797101449274</v>
      </c>
      <c r="P271" s="151">
        <f t="shared" ref="P271:P273" ca="1" si="85">IF(M271&gt;0,N271*100/M271,0)</f>
        <v>89.271317829457359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28790</v>
      </c>
      <c r="O273" s="156">
        <f t="shared" ca="1" si="84"/>
        <v>52.155797101449274</v>
      </c>
      <c r="P273" s="156">
        <f t="shared" ca="1" si="85"/>
        <v>89.271317829457359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IFERROR(__xludf.DUMMYFUNCTION("IMPORTRANGE(""https://docs.google.com/spreadsheets/d/1Yj_ptqi66GCucihVvJfMjLAmec39IyEx_6qawtMGysU/edit?usp=sharing"",""สบก!CK60"")"),32250)</f>
        <v>32250</v>
      </c>
      <c r="N275" s="169">
        <f ca="1">IFERROR(__xludf.DUMMYFUNCTION("IMPORTRANGE(""https://docs.google.com/spreadsheets/d/1Yj_ptqi66GCucihVvJfMjLAmec39IyEx_6qawtMGysU/edit?usp=sharing"",""สบก!CL60"")"),28790)</f>
        <v>28790</v>
      </c>
      <c r="O275" s="169">
        <f ca="1">IF(L275&gt;0,N275*100/L275,0)</f>
        <v>52.155797101449274</v>
      </c>
      <c r="P275" s="169">
        <f ca="1">IF(M275&gt;0,N275*100/M275,0)</f>
        <v>89.271317829457359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IFERROR(__xludf.DUMMYFUNCTION("IMPORTRANGE(""https://docs.google.com/spreadsheets/d/1Yj_ptqi66GCucihVvJfMjLAmec39IyEx_6qawtMGysU/edit?usp=sharing"",""สบก!CG60"")"),0)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IFERROR(__xludf.DUMMYFUNCTION("IMPORTRANGE(""https://docs.google.com/spreadsheets/d/1Yj_ptqi66GCucihVvJfMjLAmec39IyEx_6qawtMGysU/edit?usp=sharing"",""สบก!CH60"")"),55200)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IFERROR(__xludf.DUMMYFUNCTION("IMPORTRANGE(""https://docs.google.com/spreadsheets/d/1Yj_ptqi66GCucihVvJfMjLAmec39IyEx_6qawtMGysU/edit?usp=sharing"",""สบก!CI60"")"),0)</f>
        <v>0</v>
      </c>
      <c r="M279" s="49"/>
      <c r="N279" s="49">
        <f ca="1">IFERROR(__xludf.DUMMYFUNCTION("IMPORTRANGE(""https://docs.google.com/spreadsheets/d/1Yj_ptqi66GCucihVvJfMjLAmec39IyEx_6qawtMGysU/edit?usp=sharing"",""สบก!CM60"")"),0)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IFERROR(__xludf.DUMMYFUNCTION("IMPORTRANGE(""https://docs.google.com/spreadsheets/d/1SX6NBoVAgQJ6U1MVXOaj8PK2l7WJ3RER9xtqwdhxkhw/edit?usp=sharing"",""จันทบุรี!J191"")"),0)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IFERROR(__xludf.DUMMYFUNCTION("IMPORTRANGE(""https://docs.google.com/spreadsheets/d/1SX6NBoVAgQJ6U1MVXOaj8PK2l7WJ3RER9xtqwdhxkhw/edit?usp=sharing"",""จันทบุรี!J192"")"),1)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IFERROR(__xludf.DUMMYFUNCTION("IMPORTRANGE(""https://docs.google.com/spreadsheets/d/1SX6NBoVAgQJ6U1MVXOaj8PK2l7WJ3RER9xtqwdhxkhw/edit?usp=sharing"",""จันทบุรี!J193"")"),1)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IFERROR(__xludf.DUMMYFUNCTION("IMPORTRANGE(""https://docs.google.com/spreadsheets/d/1SX6NBoVAgQJ6U1MVXOaj8PK2l7WJ3RER9xtqwdhxkhw/edit?usp=sharing"",""จันทบุรี!J194"")"),1)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IFERROR(__xludf.DUMMYFUNCTION("IMPORTRANGE(""https://docs.google.com/spreadsheets/d/1SX6NBoVAgQJ6U1MVXOaj8PK2l7WJ3RER9xtqwdhxkhw/edit?usp=sharing"",""จันทบุรี!I195"")"),15)</f>
        <v>15</v>
      </c>
      <c r="J285" s="189">
        <f ca="1">IFERROR(__xludf.DUMMYFUNCTION("IMPORTRANGE(""https://docs.google.com/spreadsheets/d/1SX6NBoVAgQJ6U1MVXOaj8PK2l7WJ3RER9xtqwdhxkhw/edit?usp=sharing"",""จันทบุรี!J195"")"),15)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IFERROR(__xludf.DUMMYFUNCTION("IMPORTRANGE(""https://docs.google.com/spreadsheets/d/1SX6NBoVAgQJ6U1MVXOaj8PK2l7WJ3RER9xtqwdhxkhw/edit?usp=sharing"",""จันทบุรี!J196"")"),0)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IFERROR(__xludf.DUMMYFUNCTION("IMPORTRANGE(""https://docs.google.com/spreadsheets/d/1SX6NBoVAgQJ6U1MVXOaj8PK2l7WJ3RER9xtqwdhxkhw/edit?usp=sharing"",""จันทบุรี!J197"")"),0)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IFERROR(__xludf.DUMMYFUNCTION("IMPORTRANGE(""https://docs.google.com/spreadsheets/d/1SX6NBoVAgQJ6U1MVXOaj8PK2l7WJ3RER9xtqwdhxkhw/edit?usp=sharing"",""จันทบุรี!I199"")"),0)</f>
        <v>0</v>
      </c>
      <c r="J289" s="316">
        <f ca="1">IFERROR(__xludf.DUMMYFUNCTION("IMPORTRANGE(""https://docs.google.com/spreadsheets/d/1SX6NBoVAgQJ6U1MVXOaj8PK2l7WJ3RER9xtqwdhxkhw/edit?usp=sharing"",""จันทบุรี!J199"")"),0)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IFERROR(__xludf.DUMMYFUNCTION("IMPORTRANGE(""https://docs.google.com/spreadsheets/d/1Yj_ptqi66GCucihVvJfMjLAmec39IyEx_6qawtMGysU/edit?usp=sharing"",""สบก!CT60"")"),0)</f>
        <v>0</v>
      </c>
      <c r="N294" s="169">
        <f ca="1">IFERROR(__xludf.DUMMYFUNCTION("IMPORTRANGE(""https://docs.google.com/spreadsheets/d/1Yj_ptqi66GCucihVvJfMjLAmec39IyEx_6qawtMGysU/edit?usp=sharing"",""สบก!CU60"")"),0)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IFERROR(__xludf.DUMMYFUNCTION("IMPORTRANGE(""https://docs.google.com/spreadsheets/d/1Yj_ptqi66GCucihVvJfMjLAmec39IyEx_6qawtMGysU/edit?usp=sharing"",""สบก!CP60"")"),0)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IFERROR(__xludf.DUMMYFUNCTION("IMPORTRANGE(""https://docs.google.com/spreadsheets/d/1Yj_ptqi66GCucihVvJfMjLAmec39IyEx_6qawtMGysU/edit?usp=sharing"",""สบก!CQ60"")"),0)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IFERROR(__xludf.DUMMYFUNCTION("IMPORTRANGE(""https://docs.google.com/spreadsheets/d/1Yj_ptqi66GCucihVvJfMjLAmec39IyEx_6qawtMGysU/edit?usp=sharing"",""สบก!CR60"")"),0)</f>
        <v>0</v>
      </c>
      <c r="M298" s="49"/>
      <c r="N298" s="49">
        <f ca="1">IFERROR(__xludf.DUMMYFUNCTION("IMPORTRANGE(""https://docs.google.com/spreadsheets/d/1Yj_ptqi66GCucihVvJfMjLAmec39IyEx_6qawtMGysU/edit?usp=sharing"",""สบก!CV60"")"),0)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IFERROR(__xludf.DUMMYFUNCTION("IMPORTRANGE(""https://docs.google.com/spreadsheets/d/1SX6NBoVAgQJ6U1MVXOaj8PK2l7WJ3RER9xtqwdhxkhw/edit?usp=sharing"",""จันทบุรี!J205"")"),0)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IFERROR(__xludf.DUMMYFUNCTION("IMPORTRANGE(""https://docs.google.com/spreadsheets/d/1SX6NBoVAgQJ6U1MVXOaj8PK2l7WJ3RER9xtqwdhxkhw/edit?usp=sharing"",""จันทบุรี!J206"")"),0)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IFERROR(__xludf.DUMMYFUNCTION("IMPORTRANGE(""https://docs.google.com/spreadsheets/d/1SX6NBoVAgQJ6U1MVXOaj8PK2l7WJ3RER9xtqwdhxkhw/edit?usp=sharing"",""จันทบุรี!J207"")"),0)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IFERROR(__xludf.DUMMYFUNCTION("IMPORTRANGE(""https://docs.google.com/spreadsheets/d/1SX6NBoVAgQJ6U1MVXOaj8PK2l7WJ3RER9xtqwdhxkhw/edit?usp=sharing"",""จันทบุรี!J208"")"),0)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IFERROR(__xludf.DUMMYFUNCTION("IMPORTRANGE(""https://docs.google.com/spreadsheets/d/1SX6NBoVAgQJ6U1MVXOaj8PK2l7WJ3RER9xtqwdhxkhw/edit?usp=sharing"",""จันทบุรี!I209"")"),0)</f>
        <v>0</v>
      </c>
      <c r="J304" s="204">
        <f ca="1">IFERROR(__xludf.DUMMYFUNCTION("IMPORTRANGE(""https://docs.google.com/spreadsheets/d/1SX6NBoVAgQJ6U1MVXOaj8PK2l7WJ3RER9xtqwdhxkhw/edit?usp=sharing"",""จันทบุรี!J209"")"),0)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IFERROR(__xludf.DUMMYFUNCTION("IMPORTRANGE(""https://docs.google.com/spreadsheets/d/1SX6NBoVAgQJ6U1MVXOaj8PK2l7WJ3RER9xtqwdhxkhw/edit?usp=sharing"",""จันทบุรี!I211"")"),0)</f>
        <v>0</v>
      </c>
      <c r="J306" s="204">
        <f ca="1">IFERROR(__xludf.DUMMYFUNCTION("IMPORTRANGE(""https://docs.google.com/spreadsheets/d/1SX6NBoVAgQJ6U1MVXOaj8PK2l7WJ3RER9xtqwdhxkhw/edit?usp=sharing"",""จันทบุรี!J211"")"),0)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IFERROR(__xludf.DUMMYFUNCTION("IMPORTRANGE(""https://docs.google.com/spreadsheets/d/1SX6NBoVAgQJ6U1MVXOaj8PK2l7WJ3RER9xtqwdhxkhw/edit?usp=sharing"",""จันทบุรี!J212"")"),0)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IFERROR(__xludf.DUMMYFUNCTION("IMPORTRANGE(""https://docs.google.com/spreadsheets/d/1SX6NBoVAgQJ6U1MVXOaj8PK2l7WJ3RER9xtqwdhxkhw/edit?usp=sharing"",""จันทบุรี!J213"")"),0)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IFERROR(__xludf.DUMMYFUNCTION("IMPORTRANGE(""https://docs.google.com/spreadsheets/d/1SX6NBoVAgQJ6U1MVXOaj8PK2l7WJ3RER9xtqwdhxkhw/edit?usp=sharing"",""จันทบุรี!I214"")"),0)</f>
        <v>0</v>
      </c>
      <c r="J309" s="333">
        <f ca="1">IFERROR(__xludf.DUMMYFUNCTION("IMPORTRANGE(""https://docs.google.com/spreadsheets/d/1SX6NBoVAgQJ6U1MVXOaj8PK2l7WJ3RER9xtqwdhxkhw/edit?usp=sharing"",""จันทบุรี!J214"")"),0)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IFERROR(__xludf.DUMMYFUNCTION("IMPORTRANGE(""https://docs.google.com/spreadsheets/d/1Yj_ptqi66GCucihVvJfMjLAmec39IyEx_6qawtMGysU/edit?usp=sharing"",""สบก!DC60"")"),0)</f>
        <v>0</v>
      </c>
      <c r="N314" s="169">
        <f ca="1">IFERROR(__xludf.DUMMYFUNCTION("IMPORTRANGE(""https://docs.google.com/spreadsheets/d/1Yj_ptqi66GCucihVvJfMjLAmec39IyEx_6qawtMGysU/edit?usp=sharing"",""สบก!DD60"")"),0)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IFERROR(__xludf.DUMMYFUNCTION("IMPORTRANGE(""https://docs.google.com/spreadsheets/d/1Yj_ptqi66GCucihVvJfMjLAmec39IyEx_6qawtMGysU/edit?usp=sharing"",""สบก!CY60"")"),0)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IFERROR(__xludf.DUMMYFUNCTION("IMPORTRANGE(""https://docs.google.com/spreadsheets/d/1Yj_ptqi66GCucihVvJfMjLAmec39IyEx_6qawtMGysU/edit?usp=sharing"",""สบก!CZ60"")"),0)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IFERROR(__xludf.DUMMYFUNCTION("IMPORTRANGE(""https://docs.google.com/spreadsheets/d/1Yj_ptqi66GCucihVvJfMjLAmec39IyEx_6qawtMGysU/edit?usp=sharing"",""สบก!DA60"")"),0)</f>
        <v>0</v>
      </c>
      <c r="M318" s="49"/>
      <c r="N318" s="49">
        <f ca="1">IFERROR(__xludf.DUMMYFUNCTION("IMPORTRANGE(""https://docs.google.com/spreadsheets/d/1Yj_ptqi66GCucihVvJfMjLAmec39IyEx_6qawtMGysU/edit?usp=sharing"",""สบก!DE60"")"),0)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IFERROR(__xludf.DUMMYFUNCTION("IMPORTRANGE(""https://docs.google.com/spreadsheets/d/1SX6NBoVAgQJ6U1MVXOaj8PK2l7WJ3RER9xtqwdhxkhw/edit?usp=sharing"",""จันทบุรี!J220"")"),0)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IFERROR(__xludf.DUMMYFUNCTION("IMPORTRANGE(""https://docs.google.com/spreadsheets/d/1SX6NBoVAgQJ6U1MVXOaj8PK2l7WJ3RER9xtqwdhxkhw/edit?usp=sharing"",""จันทบุรี!J221"")"),0)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IFERROR(__xludf.DUMMYFUNCTION("IMPORTRANGE(""https://docs.google.com/spreadsheets/d/1SX6NBoVAgQJ6U1MVXOaj8PK2l7WJ3RER9xtqwdhxkhw/edit?usp=sharing"",""จันทบุรี!J222"")"),0)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IFERROR(__xludf.DUMMYFUNCTION("IMPORTRANGE(""https://docs.google.com/spreadsheets/d/1SX6NBoVAgQJ6U1MVXOaj8PK2l7WJ3RER9xtqwdhxkhw/edit?usp=sharing"",""จันทบุรี!J223"")"),0)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IFERROR(__xludf.DUMMYFUNCTION("IMPORTRANGE(""https://docs.google.com/spreadsheets/d/1SX6NBoVAgQJ6U1MVXOaj8PK2l7WJ3RER9xtqwdhxkhw/edit?usp=sharing"",""จันทบุรี!I224"")"),0)</f>
        <v>0</v>
      </c>
      <c r="J324" s="204">
        <f ca="1">IFERROR(__xludf.DUMMYFUNCTION("IMPORTRANGE(""https://docs.google.com/spreadsheets/d/1SX6NBoVAgQJ6U1MVXOaj8PK2l7WJ3RER9xtqwdhxkhw/edit?usp=sharing"",""จันทบุรี!J224"")"),0)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IFERROR(__xludf.DUMMYFUNCTION("IMPORTRANGE(""https://docs.google.com/spreadsheets/d/1SX6NBoVAgQJ6U1MVXOaj8PK2l7WJ3RER9xtqwdhxkhw/edit?usp=sharing"",""จันทบุรี!J225"")"),0)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IFERROR(__xludf.DUMMYFUNCTION("IMPORTRANGE(""https://docs.google.com/spreadsheets/d/1SX6NBoVAgQJ6U1MVXOaj8PK2l7WJ3RER9xtqwdhxkhw/edit?usp=sharing"",""จันทบุรี!J226"")"),0)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IFERROR(__xludf.DUMMYFUNCTION("IMPORTRANGE(""https://docs.google.com/spreadsheets/d/1SX6NBoVAgQJ6U1MVXOaj8PK2l7WJ3RER9xtqwdhxkhw/edit?usp=sharing"",""จันทบุรี!I228"")"),160)</f>
        <v>160</v>
      </c>
      <c r="J328" s="339">
        <f ca="1">IFERROR(__xludf.DUMMYFUNCTION("IMPORTRANGE(""https://docs.google.com/spreadsheets/d/1SX6NBoVAgQJ6U1MVXOaj8PK2l7WJ3RER9xtqwdhxkhw/edit?usp=sharing"",""จันทบุรี!J228"")"),30)</f>
        <v>30</v>
      </c>
      <c r="K328" s="317">
        <f ca="1">IF(I328&gt;0,J328*100/I328,0)</f>
        <v>18.75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682250</v>
      </c>
      <c r="M329" s="152">
        <f t="shared" ca="1" si="98"/>
        <v>487330</v>
      </c>
      <c r="N329" s="152">
        <f t="shared" ca="1" si="98"/>
        <v>288441</v>
      </c>
      <c r="O329" s="151">
        <f t="shared" ref="O329:O331" ca="1" si="99">IF(L329&gt;0,N329*100/L329,0)</f>
        <v>42.277903994137048</v>
      </c>
      <c r="P329" s="151">
        <f t="shared" ref="P329:P331" ca="1" si="100">IF(M329&gt;0,N329*100/M329,0)</f>
        <v>59.188024541891529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682250</v>
      </c>
      <c r="M331" s="157">
        <f t="shared" ca="1" si="102"/>
        <v>487330</v>
      </c>
      <c r="N331" s="157">
        <f t="shared" ca="1" si="102"/>
        <v>288441</v>
      </c>
      <c r="O331" s="156">
        <f t="shared" ca="1" si="99"/>
        <v>42.277903994137048</v>
      </c>
      <c r="P331" s="156">
        <f t="shared" ca="1" si="100"/>
        <v>59.188024541891529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682250</v>
      </c>
      <c r="M333" s="168">
        <f ca="1">IFERROR(__xludf.DUMMYFUNCTION("IMPORTRANGE(""https://docs.google.com/spreadsheets/d/1Yj_ptqi66GCucihVvJfMjLAmec39IyEx_6qawtMGysU/edit?usp=sharing"",""สบก!DL60"")"),487330)</f>
        <v>487330</v>
      </c>
      <c r="N333" s="169">
        <f ca="1">IFERROR(__xludf.DUMMYFUNCTION("IMPORTRANGE(""https://docs.google.com/spreadsheets/d/1Yj_ptqi66GCucihVvJfMjLAmec39IyEx_6qawtMGysU/edit?usp=sharing"",""สบก!DM60"")"),288441)</f>
        <v>288441</v>
      </c>
      <c r="O333" s="169">
        <f ca="1">IF(L333&gt;0,N333*100/L333,0)</f>
        <v>42.277903994137048</v>
      </c>
      <c r="P333" s="169">
        <f ca="1">IF(M333&gt;0,N333*100/M333,0)</f>
        <v>59.188024541891529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IFERROR(__xludf.DUMMYFUNCTION("IMPORTRANGE(""https://docs.google.com/spreadsheets/d/1Yj_ptqi66GCucihVvJfMjLAmec39IyEx_6qawtMGysU/edit?usp=sharing"",""สบก!DH60"")"),306000)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IFERROR(__xludf.DUMMYFUNCTION("IMPORTRANGE(""https://docs.google.com/spreadsheets/d/1Yj_ptqi66GCucihVvJfMjLAmec39IyEx_6qawtMGysU/edit?usp=sharing"",""สบก!DI60"")"),376250)</f>
        <v>376250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IFERROR(__xludf.DUMMYFUNCTION("IMPORTRANGE(""https://docs.google.com/spreadsheets/d/1Yj_ptqi66GCucihVvJfMjLAmec39IyEx_6qawtMGysU/edit?usp=sharing"",""สบก!DJ60"")"),0)</f>
        <v>0</v>
      </c>
      <c r="M337" s="49"/>
      <c r="N337" s="49">
        <f ca="1">IFERROR(__xludf.DUMMYFUNCTION("IMPORTRANGE(""https://docs.google.com/spreadsheets/d/1Yj_ptqi66GCucihVvJfMjLAmec39IyEx_6qawtMGysU/edit?usp=sharing"",""สบก!DN60"")"),0)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IFERROR(__xludf.DUMMYFUNCTION("IMPORTRANGE(""https://docs.google.com/spreadsheets/d/1SX6NBoVAgQJ6U1MVXOaj8PK2l7WJ3RER9xtqwdhxkhw/edit?usp=sharing"",""จันทบุรี!I234"")"),0)</f>
        <v>0</v>
      </c>
      <c r="J339" s="188">
        <f ca="1">IFERROR(__xludf.DUMMYFUNCTION("IMPORTRANGE(""https://docs.google.com/spreadsheets/d/1SX6NBoVAgQJ6U1MVXOaj8PK2l7WJ3RER9xtqwdhxkhw/edit?usp=sharing"",""จันทบุรี!J234"")"),85)</f>
        <v>85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IFERROR(__xludf.DUMMYFUNCTION("IMPORTRANGE(""https://docs.google.com/spreadsheets/d/1SX6NBoVAgQJ6U1MVXOaj8PK2l7WJ3RER9xtqwdhxkhw/edit?usp=sharing"",""จันทบุรี!I235"")"),2250)</f>
        <v>2250</v>
      </c>
      <c r="J340" s="188">
        <f ca="1">IFERROR(__xludf.DUMMYFUNCTION("IMPORTRANGE(""https://docs.google.com/spreadsheets/d/1SX6NBoVAgQJ6U1MVXOaj8PK2l7WJ3RER9xtqwdhxkhw/edit?usp=sharing"",""จันทบุรี!J235"")"),1405.78)</f>
        <v>1405.78</v>
      </c>
      <c r="K340" s="342">
        <f t="shared" ca="1" si="103"/>
        <v>62.479111111111109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IFERROR(__xludf.DUMMYFUNCTION("IMPORTRANGE(""https://docs.google.com/spreadsheets/d/1SX6NBoVAgQJ6U1MVXOaj8PK2l7WJ3RER9xtqwdhxkhw/edit?usp=sharing"",""จันทบุรี!I236"")"),160)</f>
        <v>160</v>
      </c>
      <c r="J341" s="188">
        <f ca="1">IFERROR(__xludf.DUMMYFUNCTION("IMPORTRANGE(""https://docs.google.com/spreadsheets/d/1SX6NBoVAgQJ6U1MVXOaj8PK2l7WJ3RER9xtqwdhxkhw/edit?usp=sharing"",""จันทบุรี!J236"")"),96)</f>
        <v>96</v>
      </c>
      <c r="K341" s="342">
        <f t="shared" ca="1" si="103"/>
        <v>60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IFERROR(__xludf.DUMMYFUNCTION("IMPORTRANGE(""https://docs.google.com/spreadsheets/d/1SX6NBoVAgQJ6U1MVXOaj8PK2l7WJ3RER9xtqwdhxkhw/edit?usp=sharing"",""จันทบุรี!I237"")"),0)</f>
        <v>0</v>
      </c>
      <c r="J342" s="188">
        <f ca="1">IFERROR(__xludf.DUMMYFUNCTION("IMPORTRANGE(""https://docs.google.com/spreadsheets/d/1SX6NBoVAgQJ6U1MVXOaj8PK2l7WJ3RER9xtqwdhxkhw/edit?usp=sharing"",""จันทบุรี!J237"")"),1435.61)</f>
        <v>1435.61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IFERROR(__xludf.DUMMYFUNCTION("IMPORTRANGE(""https://docs.google.com/spreadsheets/d/1SX6NBoVAgQJ6U1MVXOaj8PK2l7WJ3RER9xtqwdhxkhw/edit?usp=sharing"",""จันทบุรี!I238"")"),160)</f>
        <v>160</v>
      </c>
      <c r="J343" s="188">
        <f ca="1">IFERROR(__xludf.DUMMYFUNCTION("IMPORTRANGE(""https://docs.google.com/spreadsheets/d/1SX6NBoVAgQJ6U1MVXOaj8PK2l7WJ3RER9xtqwdhxkhw/edit?usp=sharing"",""จันทบุรี!J238"")"),0)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IFERROR(__xludf.DUMMYFUNCTION("IMPORTRANGE(""https://docs.google.com/spreadsheets/d/1SX6NBoVAgQJ6U1MVXOaj8PK2l7WJ3RER9xtqwdhxkhw/edit?usp=sharing"",""จันทบุรี!I239"")"),0)</f>
        <v>0</v>
      </c>
      <c r="J344" s="188">
        <f ca="1">IFERROR(__xludf.DUMMYFUNCTION("IMPORTRANGE(""https://docs.google.com/spreadsheets/d/1SX6NBoVAgQJ6U1MVXOaj8PK2l7WJ3RER9xtqwdhxkhw/edit?usp=sharing"",""จันทบุรี!J239"")"),0)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IFERROR(__xludf.DUMMYFUNCTION("IMPORTRANGE(""https://docs.google.com/spreadsheets/d/1SX6NBoVAgQJ6U1MVXOaj8PK2l7WJ3RER9xtqwdhxkhw/edit?usp=sharing"",""จันทบุรี!I240"")"),160)</f>
        <v>160</v>
      </c>
      <c r="J345" s="188">
        <f ca="1">IFERROR(__xludf.DUMMYFUNCTION("IMPORTRANGE(""https://docs.google.com/spreadsheets/d/1SX6NBoVAgQJ6U1MVXOaj8PK2l7WJ3RER9xtqwdhxkhw/edit?usp=sharing"",""จันทบุรี!J240"")"),30)</f>
        <v>30</v>
      </c>
      <c r="K345" s="342">
        <f t="shared" ca="1" si="103"/>
        <v>18.75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IFERROR(__xludf.DUMMYFUNCTION("IMPORTRANGE(""https://docs.google.com/spreadsheets/d/1SX6NBoVAgQJ6U1MVXOaj8PK2l7WJ3RER9xtqwdhxkhw/edit?usp=sharing"",""จันทบุรี!I241"")"),0)</f>
        <v>0</v>
      </c>
      <c r="J346" s="188">
        <f ca="1">IFERROR(__xludf.DUMMYFUNCTION("IMPORTRANGE(""https://docs.google.com/spreadsheets/d/1SX6NBoVAgQJ6U1MVXOaj8PK2l7WJ3RER9xtqwdhxkhw/edit?usp=sharing"",""จันทบุรี!J241"")"),318.41)</f>
        <v>318.41000000000003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IFERROR(__xludf.DUMMYFUNCTION("IMPORTRANGE(""https://docs.google.com/spreadsheets/d/1SX6NBoVAgQJ6U1MVXOaj8PK2l7WJ3RER9xtqwdhxkhw/edit?usp=sharing"",""จันทบุรี!L242"")"),1032223)</f>
        <v>1032223</v>
      </c>
      <c r="M347" s="358"/>
      <c r="N347" s="358">
        <f ca="1">IFERROR(__xludf.DUMMYFUNCTION("IMPORTRANGE(""https://docs.google.com/spreadsheets/d/1SX6NBoVAgQJ6U1MVXOaj8PK2l7WJ3RER9xtqwdhxkhw/edit?usp=sharing"",""จันทบุรี!M242"")"),251024)</f>
        <v>251024</v>
      </c>
      <c r="O347" s="358">
        <f ca="1">+IF(L347&gt;0,N347*100/L347,0)</f>
        <v>24.318776078424914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IFERROR(__xludf.DUMMYFUNCTION("IMPORTRANGE(""https://docs.google.com/spreadsheets/d/1SX6NBoVAgQJ6U1MVXOaj8PK2l7WJ3RER9xtqwdhxkhw/edit?usp=sharing"",""จันทบุรี!I244"")"),0)</f>
        <v>0</v>
      </c>
      <c r="J349" s="371">
        <f ca="1">IFERROR(__xludf.DUMMYFUNCTION("IMPORTRANGE(""https://docs.google.com/spreadsheets/d/1SX6NBoVAgQJ6U1MVXOaj8PK2l7WJ3RER9xtqwdhxkhw/edit?usp=sharing"",""จันทบุรี!J244"")"),0)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IFERROR(__xludf.DUMMYFUNCTION("IMPORTRANGE(""https://docs.google.com/spreadsheets/d/1SX6NBoVAgQJ6U1MVXOaj8PK2l7WJ3RER9xtqwdhxkhw/edit?usp=sharing"",""จันทบุรี!L244"")"),0)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IFERROR(__xludf.DUMMYFUNCTION("IMPORTRANGE(""https://docs.google.com/spreadsheets/d/1SX6NBoVAgQJ6U1MVXOaj8PK2l7WJ3RER9xtqwdhxkhw/edit?usp=sharing"",""จันทบุรี!M244"")"),0)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IFERROR(__xludf.DUMMYFUNCTION("IMPORTRANGE(""https://docs.google.com/spreadsheets/d/1SX6NBoVAgQJ6U1MVXOaj8PK2l7WJ3RER9xtqwdhxkhw/edit?usp=sharing"",""จันทบุรี!I245"")"),0)</f>
        <v>0</v>
      </c>
      <c r="J350" s="371">
        <f ca="1">IFERROR(__xludf.DUMMYFUNCTION("IMPORTRANGE(""https://docs.google.com/spreadsheets/d/1SX6NBoVAgQJ6U1MVXOaj8PK2l7WJ3RER9xtqwdhxkhw/edit?usp=sharing"",""จันทบุรี!J245"")"),0)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IFERROR(__xludf.DUMMYFUNCTION("IMPORTRANGE(""https://docs.google.com/spreadsheets/d/1SX6NBoVAgQJ6U1MVXOaj8PK2l7WJ3RER9xtqwdhxkhw/edit?usp=sharing"",""จันทบุรี!L246"")"),0)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IFERROR(__xludf.DUMMYFUNCTION("IMPORTRANGE(""https://docs.google.com/spreadsheets/d/1SX6NBoVAgQJ6U1MVXOaj8PK2l7WJ3RER9xtqwdhxkhw/edit?usp=sharing"",""จันทบุรี!M246"")"),0)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IFERROR(__xludf.DUMMYFUNCTION("IMPORTRANGE(""https://docs.google.com/spreadsheets/d/1SX6NBoVAgQJ6U1MVXOaj8PK2l7WJ3RER9xtqwdhxkhw/edit?usp=sharing"",""จันทบุรี!L247"")"),0)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IFERROR(__xludf.DUMMYFUNCTION("IMPORTRANGE(""https://docs.google.com/spreadsheets/d/1SX6NBoVAgQJ6U1MVXOaj8PK2l7WJ3RER9xtqwdhxkhw/edit?usp=sharing"",""จันทบุรี!M247"")"),0)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IFERROR(__xludf.DUMMYFUNCTION("IMPORTRANGE(""https://docs.google.com/spreadsheets/d/1SX6NBoVAgQJ6U1MVXOaj8PK2l7WJ3RER9xtqwdhxkhw/edit?usp=sharing"",""จันทบุรี!L248"")"),0)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IFERROR(__xludf.DUMMYFUNCTION("IMPORTRANGE(""https://docs.google.com/spreadsheets/d/1SX6NBoVAgQJ6U1MVXOaj8PK2l7WJ3RER9xtqwdhxkhw/edit?usp=sharing"",""จันทบุรี!M248"")"),0)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IFERROR(__xludf.DUMMYFUNCTION("IMPORTRANGE(""https://docs.google.com/spreadsheets/d/1SX6NBoVAgQJ6U1MVXOaj8PK2l7WJ3RER9xtqwdhxkhw/edit?usp=sharing"",""จันทบุรี!L249"")"),0)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IFERROR(__xludf.DUMMYFUNCTION("IMPORTRANGE(""https://docs.google.com/spreadsheets/d/1SX6NBoVAgQJ6U1MVXOaj8PK2l7WJ3RER9xtqwdhxkhw/edit?usp=sharing"",""จันทบุรี!M249"")"),0)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IFERROR(__xludf.DUMMYFUNCTION("IMPORTRANGE(""https://docs.google.com/spreadsheets/d/1SX6NBoVAgQJ6U1MVXOaj8PK2l7WJ3RER9xtqwdhxkhw/edit?usp=sharing"",""จันทบุรี!M250"")"),0)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IFERROR(__xludf.DUMMYFUNCTION("IMPORTRANGE(""https://docs.google.com/spreadsheets/d/1SX6NBoVAgQJ6U1MVXOaj8PK2l7WJ3RER9xtqwdhxkhw/edit?usp=sharing"",""จันทบุรี!M251"")"),0)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IFERROR(__xludf.DUMMYFUNCTION("IMPORTRANGE(""https://docs.google.com/spreadsheets/d/1SX6NBoVAgQJ6U1MVXOaj8PK2l7WJ3RER9xtqwdhxkhw/edit?usp=sharing"",""จันทบุรี!M252"")"),0)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IFERROR(__xludf.DUMMYFUNCTION("IMPORTRANGE(""https://docs.google.com/spreadsheets/d/1SX6NBoVAgQJ6U1MVXOaj8PK2l7WJ3RER9xtqwdhxkhw/edit?usp=sharing"",""จันทบุรี!M253"")"),0)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IFERROR(__xludf.DUMMYFUNCTION("IMPORTRANGE(""https://docs.google.com/spreadsheets/d/1SX6NBoVAgQJ6U1MVXOaj8PK2l7WJ3RER9xtqwdhxkhw/edit?usp=sharing"",""จันทบุรี!J255"")"),0)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IFERROR(__xludf.DUMMYFUNCTION("IMPORTRANGE(""https://docs.google.com/spreadsheets/d/1SX6NBoVAgQJ6U1MVXOaj8PK2l7WJ3RER9xtqwdhxkhw/edit?usp=sharing"",""จันทบุรี!J256"")"),0)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IFERROR(__xludf.DUMMYFUNCTION("IMPORTRANGE(""https://docs.google.com/spreadsheets/d/1SX6NBoVAgQJ6U1MVXOaj8PK2l7WJ3RER9xtqwdhxkhw/edit?usp=sharing"",""จันทบุรี!J257"")"),0)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IFERROR(__xludf.DUMMYFUNCTION("IMPORTRANGE(""https://docs.google.com/spreadsheets/d/1SX6NBoVAgQJ6U1MVXOaj8PK2l7WJ3RER9xtqwdhxkhw/edit?usp=sharing"",""จันทบุรี!J258"")"),0)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IFERROR(__xludf.DUMMYFUNCTION("IMPORTRANGE(""https://docs.google.com/spreadsheets/d/1SX6NBoVAgQJ6U1MVXOaj8PK2l7WJ3RER9xtqwdhxkhw/edit?usp=sharing"",""จันทบุรี!J166"")"),0)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IFERROR(__xludf.DUMMYFUNCTION("IMPORTRANGE(""https://docs.google.com/spreadsheets/d/1SX6NBoVAgQJ6U1MVXOaj8PK2l7WJ3RER9xtqwdhxkhw/edit?usp=sharing"",""จันทบุรี!J166"")"),0)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IFERROR(__xludf.DUMMYFUNCTION("IMPORTRANGE(""https://docs.google.com/spreadsheets/d/1SX6NBoVAgQJ6U1MVXOaj8PK2l7WJ3RER9xtqwdhxkhw/edit?usp=sharing"",""จันทบุรี!J166"")"),0)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IFERROR(__xludf.DUMMYFUNCTION("IMPORTRANGE(""https://docs.google.com/spreadsheets/d/1SX6NBoVAgQJ6U1MVXOaj8PK2l7WJ3RER9xtqwdhxkhw/edit?usp=sharing"",""จันทบุรี!J166"")"),0)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IFERROR(__xludf.DUMMYFUNCTION("IMPORTRANGE(""https://docs.google.com/spreadsheets/d/1SX6NBoVAgQJ6U1MVXOaj8PK2l7WJ3RER9xtqwdhxkhw/edit?usp=sharing"",""จันทบุรี!I263"")"),0)</f>
        <v>0</v>
      </c>
      <c r="J368" s="188">
        <f ca="1">IFERROR(__xludf.DUMMYFUNCTION("IMPORTRANGE(""https://docs.google.com/spreadsheets/d/1SX6NBoVAgQJ6U1MVXOaj8PK2l7WJ3RER9xtqwdhxkhw/edit?usp=sharing"",""จันทบุรี!J263"")"),0)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IFERROR(__xludf.DUMMYFUNCTION("IMPORTRANGE(""https://docs.google.com/spreadsheets/d/1SX6NBoVAgQJ6U1MVXOaj8PK2l7WJ3RER9xtqwdhxkhw/edit?usp=sharing"",""จันทบุรี!I164"")"),0)</f>
        <v>0</v>
      </c>
      <c r="J369" s="204">
        <f ca="1">IFERROR(__xludf.DUMMYFUNCTION("IMPORTRANGE(""https://docs.google.com/spreadsheets/d/1SX6NBoVAgQJ6U1MVXOaj8PK2l7WJ3RER9xtqwdhxkhw/edit?usp=sharing"",""จันทบุรี!J164"")"),0)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IFERROR(__xludf.DUMMYFUNCTION("IMPORTRANGE(""https://docs.google.com/spreadsheets/d/1SX6NBoVAgQJ6U1MVXOaj8PK2l7WJ3RER9xtqwdhxkhw/edit?usp=sharing"",""จันทบุรี!I265"")"),0)</f>
        <v>0</v>
      </c>
      <c r="J370" s="204">
        <f ca="1">IFERROR(__xludf.DUMMYFUNCTION("IMPORTRANGE(""https://docs.google.com/spreadsheets/d/1SX6NBoVAgQJ6U1MVXOaj8PK2l7WJ3RER9xtqwdhxkhw/edit?usp=sharing"",""จันทบุรี!J265"")"),0)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IFERROR(__xludf.DUMMYFUNCTION("IMPORTRANGE(""https://docs.google.com/spreadsheets/d/1SX6NBoVAgQJ6U1MVXOaj8PK2l7WJ3RER9xtqwdhxkhw/edit?usp=sharing"",""จันทบุรี!I164"")"),0)</f>
        <v>0</v>
      </c>
      <c r="J371" s="189">
        <f ca="1">IFERROR(__xludf.DUMMYFUNCTION("IMPORTRANGE(""https://docs.google.com/spreadsheets/d/1SX6NBoVAgQJ6U1MVXOaj8PK2l7WJ3RER9xtqwdhxkhw/edit?usp=sharing"",""จันทบุรี!J164"")"),0)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IFERROR(__xludf.DUMMYFUNCTION("IMPORTRANGE(""https://docs.google.com/spreadsheets/d/1SX6NBoVAgQJ6U1MVXOaj8PK2l7WJ3RER9xtqwdhxkhw/edit?usp=sharing"",""จันทบุรี!I267"")"),0)</f>
        <v>0</v>
      </c>
      <c r="J372" s="189">
        <f ca="1">IFERROR(__xludf.DUMMYFUNCTION("IMPORTRANGE(""https://docs.google.com/spreadsheets/d/1SX6NBoVAgQJ6U1MVXOaj8PK2l7WJ3RER9xtqwdhxkhw/edit?usp=sharing"",""จันทบุรี!J267"")"),0)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IFERROR(__xludf.DUMMYFUNCTION("IMPORTRANGE(""https://docs.google.com/spreadsheets/d/1SX6NBoVAgQJ6U1MVXOaj8PK2l7WJ3RER9xtqwdhxkhw/edit?usp=sharing"",""จันทบุรี!I164"")"),0)</f>
        <v>0</v>
      </c>
      <c r="J373" s="204">
        <f ca="1">IFERROR(__xludf.DUMMYFUNCTION("IMPORTRANGE(""https://docs.google.com/spreadsheets/d/1SX6NBoVAgQJ6U1MVXOaj8PK2l7WJ3RER9xtqwdhxkhw/edit?usp=sharing"",""จันทบุรี!J164"")"),0)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IFERROR(__xludf.DUMMYFUNCTION("IMPORTRANGE(""https://docs.google.com/spreadsheets/d/1SX6NBoVAgQJ6U1MVXOaj8PK2l7WJ3RER9xtqwdhxkhw/edit?usp=sharing"",""จันทบุรี!I164"")"),0)</f>
        <v>0</v>
      </c>
      <c r="J374" s="188">
        <f ca="1">IFERROR(__xludf.DUMMYFUNCTION("IMPORTRANGE(""https://docs.google.com/spreadsheets/d/1SX6NBoVAgQJ6U1MVXOaj8PK2l7WJ3RER9xtqwdhxkhw/edit?usp=sharing"",""จันทบุรี!J164"")"),0)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IFERROR(__xludf.DUMMYFUNCTION("IMPORTRANGE(""https://docs.google.com/spreadsheets/d/1SX6NBoVAgQJ6U1MVXOaj8PK2l7WJ3RER9xtqwdhxkhw/edit?usp=sharing"",""จันทบุรี!I270"")"),0)</f>
        <v>0</v>
      </c>
      <c r="J375" s="188">
        <f ca="1">IFERROR(__xludf.DUMMYFUNCTION("IMPORTRANGE(""https://docs.google.com/spreadsheets/d/1SX6NBoVAgQJ6U1MVXOaj8PK2l7WJ3RER9xtqwdhxkhw/edit?usp=sharing"",""จันทบุรี!J270"")"),0)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IFERROR(__xludf.DUMMYFUNCTION("IMPORTRANGE(""https://docs.google.com/spreadsheets/d/1SX6NBoVAgQJ6U1MVXOaj8PK2l7WJ3RER9xtqwdhxkhw/edit?usp=sharing"",""จันทบุรี!I271"")"),0)</f>
        <v>0</v>
      </c>
      <c r="J376" s="189">
        <f ca="1">IFERROR(__xludf.DUMMYFUNCTION("IMPORTRANGE(""https://docs.google.com/spreadsheets/d/1SX6NBoVAgQJ6U1MVXOaj8PK2l7WJ3RER9xtqwdhxkhw/edit?usp=sharing"",""จันทบุรี!J271"")"),0)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IFERROR(__xludf.DUMMYFUNCTION("IMPORTRANGE(""https://docs.google.com/spreadsheets/d/1SX6NBoVAgQJ6U1MVXOaj8PK2l7WJ3RER9xtqwdhxkhw/edit?usp=sharing"",""จันทบุรี!I272"")"),0)</f>
        <v>0</v>
      </c>
      <c r="J377" s="204">
        <f ca="1">IFERROR(__xludf.DUMMYFUNCTION("IMPORTRANGE(""https://docs.google.com/spreadsheets/d/1SX6NBoVAgQJ6U1MVXOaj8PK2l7WJ3RER9xtqwdhxkhw/edit?usp=sharing"",""จันทบุรี!J272"")"),0)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IFERROR(__xludf.DUMMYFUNCTION("IMPORTRANGE(""https://docs.google.com/spreadsheets/d/1SX6NBoVAgQJ6U1MVXOaj8PK2l7WJ3RER9xtqwdhxkhw/edit?usp=sharing"",""จันทบุรี!J273"")"),0)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IFERROR(__xludf.DUMMYFUNCTION("IMPORTRANGE(""https://docs.google.com/spreadsheets/d/1SX6NBoVAgQJ6U1MVXOaj8PK2l7WJ3RER9xtqwdhxkhw/edit?usp=sharing"",""จันทบุรี!J274"")"),0)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IFERROR(__xludf.DUMMYFUNCTION("IMPORTRANGE(""https://docs.google.com/spreadsheets/d/1SX6NBoVAgQJ6U1MVXOaj8PK2l7WJ3RER9xtqwdhxkhw/edit?usp=sharing"",""จันทบุรี!I275"")"),500)</f>
        <v>500</v>
      </c>
      <c r="J380" s="371">
        <f ca="1">IFERROR(__xludf.DUMMYFUNCTION("IMPORTRANGE(""https://docs.google.com/spreadsheets/d/1SX6NBoVAgQJ6U1MVXOaj8PK2l7WJ3RER9xtqwdhxkhw/edit?usp=sharing"",""จันทบุรี!J275"")"),0)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IFERROR(__xludf.DUMMYFUNCTION("IMPORTRANGE(""https://docs.google.com/spreadsheets/d/1SX6NBoVAgQJ6U1MVXOaj8PK2l7WJ3RER9xtqwdhxkhw/edit?usp=sharing"",""จันทบุรี!L275"")"),460140)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IFERROR(__xludf.DUMMYFUNCTION("IMPORTRANGE(""https://docs.google.com/spreadsheets/d/1SX6NBoVAgQJ6U1MVXOaj8PK2l7WJ3RER9xtqwdhxkhw/edit?usp=sharing"",""จันทบุรี!M275"")"),76810)</f>
        <v>76810</v>
      </c>
      <c r="O380" s="373">
        <f ca="1">+IF(L380&gt;0,N380*100/L380,0)</f>
        <v>16.692745686095535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IFERROR(__xludf.DUMMYFUNCTION("IMPORTRANGE(""https://docs.google.com/spreadsheets/d/1SX6NBoVAgQJ6U1MVXOaj8PK2l7WJ3RER9xtqwdhxkhw/edit?usp=sharing"",""จันทบุรี!I276"")"),50)</f>
        <v>50</v>
      </c>
      <c r="J381" s="371">
        <f ca="1">IFERROR(__xludf.DUMMYFUNCTION("IMPORTRANGE(""https://docs.google.com/spreadsheets/d/1SX6NBoVAgQJ6U1MVXOaj8PK2l7WJ3RER9xtqwdhxkhw/edit?usp=sharing"",""จันทบุรี!J276"")"),50)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IFERROR(__xludf.DUMMYFUNCTION("IMPORTRANGE(""https://docs.google.com/spreadsheets/d/1SX6NBoVAgQJ6U1MVXOaj8PK2l7WJ3RER9xtqwdhxkhw/edit?usp=sharing"",""จันทบุรี!L277"")"),0)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IFERROR(__xludf.DUMMYFUNCTION("IMPORTRANGE(""https://docs.google.com/spreadsheets/d/1SX6NBoVAgQJ6U1MVXOaj8PK2l7WJ3RER9xtqwdhxkhw/edit?usp=sharing"",""จันทบุรี!M277"")"),0)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IFERROR(__xludf.DUMMYFUNCTION("IMPORTRANGE(""https://docs.google.com/spreadsheets/d/1SX6NBoVAgQJ6U1MVXOaj8PK2l7WJ3RER9xtqwdhxkhw/edit?usp=sharing"",""จันทบุรี!L278"")"),460140)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IFERROR(__xludf.DUMMYFUNCTION("IMPORTRANGE(""https://docs.google.com/spreadsheets/d/1SX6NBoVAgQJ6U1MVXOaj8PK2l7WJ3RER9xtqwdhxkhw/edit?usp=sharing"",""จันทบุรี!M278"")"),76810)</f>
        <v>76810</v>
      </c>
      <c r="O383" s="165">
        <f t="shared" ca="1" si="109"/>
        <v>16.692745686095535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IFERROR(__xludf.DUMMYFUNCTION("IMPORTRANGE(""https://docs.google.com/spreadsheets/d/1SX6NBoVAgQJ6U1MVXOaj8PK2l7WJ3RER9xtqwdhxkhw/edit?usp=sharing"",""จันทบุรี!L279"")"),0)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IFERROR(__xludf.DUMMYFUNCTION("IMPORTRANGE(""https://docs.google.com/spreadsheets/d/1SX6NBoVAgQJ6U1MVXOaj8PK2l7WJ3RER9xtqwdhxkhw/edit?usp=sharing"",""จันทบุรี!M279"")"),0)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IFERROR(__xludf.DUMMYFUNCTION("IMPORTRANGE(""https://docs.google.com/spreadsheets/d/1SX6NBoVAgQJ6U1MVXOaj8PK2l7WJ3RER9xtqwdhxkhw/edit?usp=sharing"",""จันทบุรี!L280"")"),460140)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IFERROR(__xludf.DUMMYFUNCTION("IMPORTRANGE(""https://docs.google.com/spreadsheets/d/1SX6NBoVAgQJ6U1MVXOaj8PK2l7WJ3RER9xtqwdhxkhw/edit?usp=sharing"",""จันทบุรี!M280"")"),76810)</f>
        <v>76810</v>
      </c>
      <c r="O385" s="169">
        <f t="shared" ca="1" si="109"/>
        <v>16.692745686095535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IFERROR(__xludf.DUMMYFUNCTION("IMPORTRANGE(""https://docs.google.com/spreadsheets/d/1SX6NBoVAgQJ6U1MVXOaj8PK2l7WJ3RER9xtqwdhxkhw/edit?usp=sharing"",""จันทบุรี!M281"")"),60830)</f>
        <v>60830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IFERROR(__xludf.DUMMYFUNCTION("IMPORTRANGE(""https://docs.google.com/spreadsheets/d/1SX6NBoVAgQJ6U1MVXOaj8PK2l7WJ3RER9xtqwdhxkhw/edit?usp=sharing"",""จันทบุรี!M282"")"),0)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IFERROR(__xludf.DUMMYFUNCTION("IMPORTRANGE(""https://docs.google.com/spreadsheets/d/1SX6NBoVAgQJ6U1MVXOaj8PK2l7WJ3RER9xtqwdhxkhw/edit?usp=sharing"",""จันทบุรี!M283"")"),0)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IFERROR(__xludf.DUMMYFUNCTION("IMPORTRANGE(""https://docs.google.com/spreadsheets/d/1SX6NBoVAgQJ6U1MVXOaj8PK2l7WJ3RER9xtqwdhxkhw/edit?usp=sharing"",""จันทบุรี!M284"")"),15980)</f>
        <v>15980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IFERROR(__xludf.DUMMYFUNCTION("IMPORTRANGE(""https://docs.google.com/spreadsheets/d/1SX6NBoVAgQJ6U1MVXOaj8PK2l7WJ3RER9xtqwdhxkhw/edit?usp=sharing"",""จันทบุรี!J286"")"),0)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IFERROR(__xludf.DUMMYFUNCTION("IMPORTRANGE(""https://docs.google.com/spreadsheets/d/1SX6NBoVAgQJ6U1MVXOaj8PK2l7WJ3RER9xtqwdhxkhw/edit?usp=sharing"",""จันทบุรี!J287"")"),1)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IFERROR(__xludf.DUMMYFUNCTION("IMPORTRANGE(""https://docs.google.com/spreadsheets/d/1SX6NBoVAgQJ6U1MVXOaj8PK2l7WJ3RER9xtqwdhxkhw/edit?usp=sharing"",""จันทบุรี!J288"")"),1)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IFERROR(__xludf.DUMMYFUNCTION("IMPORTRANGE(""https://docs.google.com/spreadsheets/d/1SX6NBoVAgQJ6U1MVXOaj8PK2l7WJ3RER9xtqwdhxkhw/edit?usp=sharing"",""จันทบุรี!J289"")"),1)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IFERROR(__xludf.DUMMYFUNCTION("IMPORTRANGE(""https://docs.google.com/spreadsheets/d/1SX6NBoVAgQJ6U1MVXOaj8PK2l7WJ3RER9xtqwdhxkhw/edit?usp=sharing"",""จันทบุรี!I291"")"),50)</f>
        <v>50</v>
      </c>
      <c r="J396" s="198">
        <f ca="1">IFERROR(__xludf.DUMMYFUNCTION("IMPORTRANGE(""https://docs.google.com/spreadsheets/d/1SX6NBoVAgQJ6U1MVXOaj8PK2l7WJ3RER9xtqwdhxkhw/edit?usp=sharing"",""จันทบุรี!J291"")"),50)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IFERROR(__xludf.DUMMYFUNCTION("IMPORTRANGE(""https://docs.google.com/spreadsheets/d/1SX6NBoVAgQJ6U1MVXOaj8PK2l7WJ3RER9xtqwdhxkhw/edit?usp=sharing"",""จันทบุรี!I292"")"),500)</f>
        <v>500</v>
      </c>
      <c r="J397" s="198">
        <f ca="1">IFERROR(__xludf.DUMMYFUNCTION("IMPORTRANGE(""https://docs.google.com/spreadsheets/d/1SX6NBoVAgQJ6U1MVXOaj8PK2l7WJ3RER9xtqwdhxkhw/edit?usp=sharing"",""จันทบุรี!J292"")"),0)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IFERROR(__xludf.DUMMYFUNCTION("IMPORTRANGE(""https://docs.google.com/spreadsheets/d/1SX6NBoVAgQJ6U1MVXOaj8PK2l7WJ3RER9xtqwdhxkhw/edit?usp=sharing"",""จันทบุรี!I293"")"),50)</f>
        <v>50</v>
      </c>
      <c r="J398" s="198">
        <f ca="1">IFERROR(__xludf.DUMMYFUNCTION("IMPORTRANGE(""https://docs.google.com/spreadsheets/d/1SX6NBoVAgQJ6U1MVXOaj8PK2l7WJ3RER9xtqwdhxkhw/edit?usp=sharing"",""จันทบุรี!J293"")"),0)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IFERROR(__xludf.DUMMYFUNCTION("IMPORTRANGE(""https://docs.google.com/spreadsheets/d/1SX6NBoVAgQJ6U1MVXOaj8PK2l7WJ3RER9xtqwdhxkhw/edit?usp=sharing"",""จันทบุรี!J294"")"),0)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IFERROR(__xludf.DUMMYFUNCTION("IMPORTRANGE(""https://docs.google.com/spreadsheets/d/1SX6NBoVAgQJ6U1MVXOaj8PK2l7WJ3RER9xtqwdhxkhw/edit?usp=sharing"",""จันทบุรี!J295"")"),0)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IFERROR(__xludf.DUMMYFUNCTION("IMPORTRANGE(""https://docs.google.com/spreadsheets/d/1SX6NBoVAgQJ6U1MVXOaj8PK2l7WJ3RER9xtqwdhxkhw/edit?usp=sharing"",""จันทบุรี!I296"")"),120)</f>
        <v>120</v>
      </c>
      <c r="J401" s="371">
        <f ca="1">IFERROR(__xludf.DUMMYFUNCTION("IMPORTRANGE(""https://docs.google.com/spreadsheets/d/1SX6NBoVAgQJ6U1MVXOaj8PK2l7WJ3RER9xtqwdhxkhw/edit?usp=sharing"",""จันทบุรี!J296"")"),120)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IFERROR(__xludf.DUMMYFUNCTION("IMPORTRANGE(""https://docs.google.com/spreadsheets/d/1SX6NBoVAgQJ6U1MVXOaj8PK2l7WJ3RER9xtqwdhxkhw/edit?usp=sharing"",""จันทบุรี!L296"")"),144560)</f>
        <v>144560</v>
      </c>
      <c r="M401" s="373"/>
      <c r="N401" s="373">
        <f ca="1">IFERROR(__xludf.DUMMYFUNCTION("IMPORTRANGE(""https://docs.google.com/spreadsheets/d/1SX6NBoVAgQJ6U1MVXOaj8PK2l7WJ3RER9xtqwdhxkhw/edit?usp=sharing"",""จันทบุรี!M296"")"),17120)</f>
        <v>17120</v>
      </c>
      <c r="O401" s="373">
        <f ca="1">+IF(L401&gt;0,N401*100/L401,0)</f>
        <v>11.842833425567239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IFERROR(__xludf.DUMMYFUNCTION("IMPORTRANGE(""https://docs.google.com/spreadsheets/d/1SX6NBoVAgQJ6U1MVXOaj8PK2l7WJ3RER9xtqwdhxkhw/edit?usp=sharing"",""จันทบุรี!I297"")"),40)</f>
        <v>40</v>
      </c>
      <c r="J402" s="371">
        <f ca="1">IFERROR(__xludf.DUMMYFUNCTION("IMPORTRANGE(""https://docs.google.com/spreadsheets/d/1SX6NBoVAgQJ6U1MVXOaj8PK2l7WJ3RER9xtqwdhxkhw/edit?usp=sharing"",""จันทบุรี!J297"")"),40)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IFERROR(__xludf.DUMMYFUNCTION("IMPORTRANGE(""https://docs.google.com/spreadsheets/d/1SX6NBoVAgQJ6U1MVXOaj8PK2l7WJ3RER9xtqwdhxkhw/edit?usp=sharing"",""จันทบุรี!L298"")"),0)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IFERROR(__xludf.DUMMYFUNCTION("IMPORTRANGE(""https://docs.google.com/spreadsheets/d/1SX6NBoVAgQJ6U1MVXOaj8PK2l7WJ3RER9xtqwdhxkhw/edit?usp=sharing"",""จันทบุรี!M298"")"),0)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IFERROR(__xludf.DUMMYFUNCTION("IMPORTRANGE(""https://docs.google.com/spreadsheets/d/1SX6NBoVAgQJ6U1MVXOaj8PK2l7WJ3RER9xtqwdhxkhw/edit?usp=sharing"",""จันทบุรี!L299"")"),144560)</f>
        <v>144560</v>
      </c>
      <c r="M404" s="165"/>
      <c r="N404" s="169">
        <f ca="1">IFERROR(__xludf.DUMMYFUNCTION("IMPORTRANGE(""https://docs.google.com/spreadsheets/d/1SX6NBoVAgQJ6U1MVXOaj8PK2l7WJ3RER9xtqwdhxkhw/edit?usp=sharing"",""จันทบุรี!M299"")"),17120)</f>
        <v>17120</v>
      </c>
      <c r="O404" s="169">
        <f t="shared" ca="1" si="112"/>
        <v>11.842833425567239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IFERROR(__xludf.DUMMYFUNCTION("IMPORTRANGE(""https://docs.google.com/spreadsheets/d/1SX6NBoVAgQJ6U1MVXOaj8PK2l7WJ3RER9xtqwdhxkhw/edit?usp=sharing"",""จันทบุรี!L300"")"),0)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IFERROR(__xludf.DUMMYFUNCTION("IMPORTRANGE(""https://docs.google.com/spreadsheets/d/1SX6NBoVAgQJ6U1MVXOaj8PK2l7WJ3RER9xtqwdhxkhw/edit?usp=sharing"",""จันทบุรี!M300"")"),0)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IFERROR(__xludf.DUMMYFUNCTION("IMPORTRANGE(""https://docs.google.com/spreadsheets/d/1SX6NBoVAgQJ6U1MVXOaj8PK2l7WJ3RER9xtqwdhxkhw/edit?usp=sharing"",""จันทบุรี!L301"")"),144560)</f>
        <v>144560</v>
      </c>
      <c r="M406" s="169"/>
      <c r="N406" s="169">
        <f ca="1">IFERROR(__xludf.DUMMYFUNCTION("IMPORTRANGE(""https://docs.google.com/spreadsheets/d/1SX6NBoVAgQJ6U1MVXOaj8PK2l7WJ3RER9xtqwdhxkhw/edit?usp=sharing"",""จันทบุรี!M301"")"),17120)</f>
        <v>17120</v>
      </c>
      <c r="O406" s="169">
        <f t="shared" ca="1" si="112"/>
        <v>11.842833425567239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IFERROR(__xludf.DUMMYFUNCTION("IMPORTRANGE(""https://docs.google.com/spreadsheets/d/1SX6NBoVAgQJ6U1MVXOaj8PK2l7WJ3RER9xtqwdhxkhw/edit?usp=sharing"",""จันทบุรี!M302"")"),17000)</f>
        <v>17000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IFERROR(__xludf.DUMMYFUNCTION("IMPORTRANGE(""https://docs.google.com/spreadsheets/d/1SX6NBoVAgQJ6U1MVXOaj8PK2l7WJ3RER9xtqwdhxkhw/edit?usp=sharing"",""จันทบุรี!M303"")"),0)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IFERROR(__xludf.DUMMYFUNCTION("IMPORTRANGE(""https://docs.google.com/spreadsheets/d/1SX6NBoVAgQJ6U1MVXOaj8PK2l7WJ3RER9xtqwdhxkhw/edit?usp=sharing"",""จันทบุรี!M304"")"),0)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IFERROR(__xludf.DUMMYFUNCTION("IMPORTRANGE(""https://docs.google.com/spreadsheets/d/1SX6NBoVAgQJ6U1MVXOaj8PK2l7WJ3RER9xtqwdhxkhw/edit?usp=sharing"",""จันทบุรี!M305"")"),120)</f>
        <v>120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IFERROR(__xludf.DUMMYFUNCTION("IMPORTRANGE(""https://docs.google.com/spreadsheets/d/1SX6NBoVAgQJ6U1MVXOaj8PK2l7WJ3RER9xtqwdhxkhw/edit?usp=sharing"",""จันทบุรี!J307"")"),0)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IFERROR(__xludf.DUMMYFUNCTION("IMPORTRANGE(""https://docs.google.com/spreadsheets/d/1SX6NBoVAgQJ6U1MVXOaj8PK2l7WJ3RER9xtqwdhxkhw/edit?usp=sharing"",""จันทบุรี!J308"")"),1)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IFERROR(__xludf.DUMMYFUNCTION("IMPORTRANGE(""https://docs.google.com/spreadsheets/d/1SX6NBoVAgQJ6U1MVXOaj8PK2l7WJ3RER9xtqwdhxkhw/edit?usp=sharing"",""จันทบุรี!J309"")"),1)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IFERROR(__xludf.DUMMYFUNCTION("IMPORTRANGE(""https://docs.google.com/spreadsheets/d/1SX6NBoVAgQJ6U1MVXOaj8PK2l7WJ3RER9xtqwdhxkhw/edit?usp=sharing"",""จันทบุรี!J310"")"),1)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IFERROR(__xludf.DUMMYFUNCTION("IMPORTRANGE(""https://docs.google.com/spreadsheets/d/1SX6NBoVAgQJ6U1MVXOaj8PK2l7WJ3RER9xtqwdhxkhw/edit?usp=sharing"",""จันทบุรี!I311"")"),40)</f>
        <v>40</v>
      </c>
      <c r="J416" s="201">
        <f ca="1">IFERROR(__xludf.DUMMYFUNCTION("IMPORTRANGE(""https://docs.google.com/spreadsheets/d/1SX6NBoVAgQJ6U1MVXOaj8PK2l7WJ3RER9xtqwdhxkhw/edit?usp=sharing"",""จันทบุรี!J311"")"),40)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IFERROR(__xludf.DUMMYFUNCTION("IMPORTRANGE(""https://docs.google.com/spreadsheets/d/1SX6NBoVAgQJ6U1MVXOaj8PK2l7WJ3RER9xtqwdhxkhw/edit?usp=sharing"",""จันทบุรี!I312"")"),10)</f>
        <v>10</v>
      </c>
      <c r="J417" s="392">
        <f ca="1">IFERROR(__xludf.DUMMYFUNCTION("IMPORTRANGE(""https://docs.google.com/spreadsheets/d/1SX6NBoVAgQJ6U1MVXOaj8PK2l7WJ3RER9xtqwdhxkhw/edit?usp=sharing"",""จันทบุรี!J312"")"),10)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IFERROR(__xludf.DUMMYFUNCTION("IMPORTRANGE(""https://docs.google.com/spreadsheets/d/1SX6NBoVAgQJ6U1MVXOaj8PK2l7WJ3RER9xtqwdhxkhw/edit?usp=sharing"",""จันทบุรี!I313"")"),30)</f>
        <v>30</v>
      </c>
      <c r="J418" s="393">
        <f ca="1">IFERROR(__xludf.DUMMYFUNCTION("IMPORTRANGE(""https://docs.google.com/spreadsheets/d/1SX6NBoVAgQJ6U1MVXOaj8PK2l7WJ3RER9xtqwdhxkhw/edit?usp=sharing"",""จันทบุรี!J313"")"),30)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IFERROR(__xludf.DUMMYFUNCTION("IMPORTRANGE(""https://docs.google.com/spreadsheets/d/1SX6NBoVAgQJ6U1MVXOaj8PK2l7WJ3RER9xtqwdhxkhw/edit?usp=sharing"",""จันทบุรี!I314"")"),10)</f>
        <v>10</v>
      </c>
      <c r="J419" s="394">
        <f ca="1">IFERROR(__xludf.DUMMYFUNCTION("IMPORTRANGE(""https://docs.google.com/spreadsheets/d/1SX6NBoVAgQJ6U1MVXOaj8PK2l7WJ3RER9xtqwdhxkhw/edit?usp=sharing"",""จันทบุรี!J314"")"),10)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IFERROR(__xludf.DUMMYFUNCTION("IMPORTRANGE(""https://docs.google.com/spreadsheets/d/1SX6NBoVAgQJ6U1MVXOaj8PK2l7WJ3RER9xtqwdhxkhw/edit?usp=sharing"",""จันทบุรี!I315"")"),10)</f>
        <v>10</v>
      </c>
      <c r="J420" s="394">
        <f ca="1">IFERROR(__xludf.DUMMYFUNCTION("IMPORTRANGE(""https://docs.google.com/spreadsheets/d/1SX6NBoVAgQJ6U1MVXOaj8PK2l7WJ3RER9xtqwdhxkhw/edit?usp=sharing"",""จันทบุรี!J315"")"),10)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IFERROR(__xludf.DUMMYFUNCTION("IMPORTRANGE(""https://docs.google.com/spreadsheets/d/1SX6NBoVAgQJ6U1MVXOaj8PK2l7WJ3RER9xtqwdhxkhw/edit?usp=sharing"",""จันทบุรี!I316"")"),20)</f>
        <v>20</v>
      </c>
      <c r="J421" s="392">
        <f ca="1">IFERROR(__xludf.DUMMYFUNCTION("IMPORTRANGE(""https://docs.google.com/spreadsheets/d/1SX6NBoVAgQJ6U1MVXOaj8PK2l7WJ3RER9xtqwdhxkhw/edit?usp=sharing"",""จันทบุรี!J316"")"),20)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IFERROR(__xludf.DUMMYFUNCTION("IMPORTRANGE(""https://docs.google.com/spreadsheets/d/1SX6NBoVAgQJ6U1MVXOaj8PK2l7WJ3RER9xtqwdhxkhw/edit?usp=sharing"",""จันทบุรี!I317"")"),60)</f>
        <v>60</v>
      </c>
      <c r="J422" s="393">
        <f ca="1">IFERROR(__xludf.DUMMYFUNCTION("IMPORTRANGE(""https://docs.google.com/spreadsheets/d/1SX6NBoVAgQJ6U1MVXOaj8PK2l7WJ3RER9xtqwdhxkhw/edit?usp=sharing"",""จันทบุรี!J317"")"),60)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IFERROR(__xludf.DUMMYFUNCTION("IMPORTRANGE(""https://docs.google.com/spreadsheets/d/1SX6NBoVAgQJ6U1MVXOaj8PK2l7WJ3RER9xtqwdhxkhw/edit?usp=sharing"",""จันทบุรี!I318"")"),20)</f>
        <v>20</v>
      </c>
      <c r="J423" s="394">
        <f ca="1">IFERROR(__xludf.DUMMYFUNCTION("IMPORTRANGE(""https://docs.google.com/spreadsheets/d/1SX6NBoVAgQJ6U1MVXOaj8PK2l7WJ3RER9xtqwdhxkhw/edit?usp=sharing"",""จันทบุรี!J318"")"),20)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IFERROR(__xludf.DUMMYFUNCTION("IMPORTRANGE(""https://docs.google.com/spreadsheets/d/1SX6NBoVAgQJ6U1MVXOaj8PK2l7WJ3RER9xtqwdhxkhw/edit?usp=sharing"",""จันทบุรี!I319"")"),20)</f>
        <v>20</v>
      </c>
      <c r="J424" s="394">
        <f ca="1">IFERROR(__xludf.DUMMYFUNCTION("IMPORTRANGE(""https://docs.google.com/spreadsheets/d/1SX6NBoVAgQJ6U1MVXOaj8PK2l7WJ3RER9xtqwdhxkhw/edit?usp=sharing"",""จันทบุรี!J319"")"),20)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IFERROR(__xludf.DUMMYFUNCTION("IMPORTRANGE(""https://docs.google.com/spreadsheets/d/1SX6NBoVAgQJ6U1MVXOaj8PK2l7WJ3RER9xtqwdhxkhw/edit?usp=sharing"",""จันทบุรี!I320"")"),20)</f>
        <v>20</v>
      </c>
      <c r="J425" s="394">
        <f ca="1">IFERROR(__xludf.DUMMYFUNCTION("IMPORTRANGE(""https://docs.google.com/spreadsheets/d/1SX6NBoVAgQJ6U1MVXOaj8PK2l7WJ3RER9xtqwdhxkhw/edit?usp=sharing"",""จันทบุรี!J320"")"),20)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IFERROR(__xludf.DUMMYFUNCTION("IMPORTRANGE(""https://docs.google.com/spreadsheets/d/1SX6NBoVAgQJ6U1MVXOaj8PK2l7WJ3RER9xtqwdhxkhw/edit?usp=sharing"",""จันทบุรี!I321"")"),10)</f>
        <v>10</v>
      </c>
      <c r="J426" s="392">
        <f ca="1">IFERROR(__xludf.DUMMYFUNCTION("IMPORTRANGE(""https://docs.google.com/spreadsheets/d/1SX6NBoVAgQJ6U1MVXOaj8PK2l7WJ3RER9xtqwdhxkhw/edit?usp=sharing"",""จันทบุรี!J321"")"),10)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IFERROR(__xludf.DUMMYFUNCTION("IMPORTRANGE(""https://docs.google.com/spreadsheets/d/1SX6NBoVAgQJ6U1MVXOaj8PK2l7WJ3RER9xtqwdhxkhw/edit?usp=sharing"",""จันทบุรี!I322"")"),30)</f>
        <v>30</v>
      </c>
      <c r="J427" s="393">
        <f ca="1">IFERROR(__xludf.DUMMYFUNCTION("IMPORTRANGE(""https://docs.google.com/spreadsheets/d/1SX6NBoVAgQJ6U1MVXOaj8PK2l7WJ3RER9xtqwdhxkhw/edit?usp=sharing"",""จันทบุรี!J322"")"),30)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IFERROR(__xludf.DUMMYFUNCTION("IMPORTRANGE(""https://docs.google.com/spreadsheets/d/1SX6NBoVAgQJ6U1MVXOaj8PK2l7WJ3RER9xtqwdhxkhw/edit?usp=sharing"",""จันทบุรี!I323"")"),10)</f>
        <v>10</v>
      </c>
      <c r="J428" s="394">
        <f ca="1">IFERROR(__xludf.DUMMYFUNCTION("IMPORTRANGE(""https://docs.google.com/spreadsheets/d/1SX6NBoVAgQJ6U1MVXOaj8PK2l7WJ3RER9xtqwdhxkhw/edit?usp=sharing"",""จันทบุรี!J323"")"),10)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IFERROR(__xludf.DUMMYFUNCTION("IMPORTRANGE(""https://docs.google.com/spreadsheets/d/1SX6NBoVAgQJ6U1MVXOaj8PK2l7WJ3RER9xtqwdhxkhw/edit?usp=sharing"",""จันทบุรี!I324"")"),10)</f>
        <v>10</v>
      </c>
      <c r="J429" s="394">
        <f ca="1">IFERROR(__xludf.DUMMYFUNCTION("IMPORTRANGE(""https://docs.google.com/spreadsheets/d/1SX6NBoVAgQJ6U1MVXOaj8PK2l7WJ3RER9xtqwdhxkhw/edit?usp=sharing"",""จันทบุรี!J324"")"),10)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IFERROR(__xludf.DUMMYFUNCTION("IMPORTRANGE(""https://docs.google.com/spreadsheets/d/1SX6NBoVAgQJ6U1MVXOaj8PK2l7WJ3RER9xtqwdhxkhw/edit?usp=sharing"",""จันทบุรี!I325"")"),30)</f>
        <v>30</v>
      </c>
      <c r="J430" s="392">
        <f ca="1">IFERROR(__xludf.DUMMYFUNCTION("IMPORTRANGE(""https://docs.google.com/spreadsheets/d/1SX6NBoVAgQJ6U1MVXOaj8PK2l7WJ3RER9xtqwdhxkhw/edit?usp=sharing"",""จันทบุรี!J325"")"),0)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IFERROR(__xludf.DUMMYFUNCTION("IMPORTRANGE(""https://docs.google.com/spreadsheets/d/1SX6NBoVAgQJ6U1MVXOaj8PK2l7WJ3RER9xtqwdhxkhw/edit?usp=sharing"",""จันทบุรี!I326"")"),10)</f>
        <v>10</v>
      </c>
      <c r="J431" s="394">
        <f ca="1">IFERROR(__xludf.DUMMYFUNCTION("IMPORTRANGE(""https://docs.google.com/spreadsheets/d/1SX6NBoVAgQJ6U1MVXOaj8PK2l7WJ3RER9xtqwdhxkhw/edit?usp=sharing"",""จันทบุรี!J326"")"),0)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IFERROR(__xludf.DUMMYFUNCTION("IMPORTRANGE(""https://docs.google.com/spreadsheets/d/1SX6NBoVAgQJ6U1MVXOaj8PK2l7WJ3RER9xtqwdhxkhw/edit?usp=sharing"",""จันทบุรี!I327"")"),20)</f>
        <v>20</v>
      </c>
      <c r="J432" s="394">
        <f ca="1">IFERROR(__xludf.DUMMYFUNCTION("IMPORTRANGE(""https://docs.google.com/spreadsheets/d/1SX6NBoVAgQJ6U1MVXOaj8PK2l7WJ3RER9xtqwdhxkhw/edit?usp=sharing"",""จันทบุรี!J327"")"),0)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IFERROR(__xludf.DUMMYFUNCTION("IMPORTRANGE(""https://docs.google.com/spreadsheets/d/1SX6NBoVAgQJ6U1MVXOaj8PK2l7WJ3RER9xtqwdhxkhw/edit?usp=sharing"",""จันทบุรี!J328"")"),0)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IFERROR(__xludf.DUMMYFUNCTION("IMPORTRANGE(""https://docs.google.com/spreadsheets/d/1SX6NBoVAgQJ6U1MVXOaj8PK2l7WJ3RER9xtqwdhxkhw/edit?usp=sharing"",""จันทบุรี!J329"")"),0)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IFERROR(__xludf.DUMMYFUNCTION("IMPORTRANGE(""https://docs.google.com/spreadsheets/d/1SX6NBoVAgQJ6U1MVXOaj8PK2l7WJ3RER9xtqwdhxkhw/edit?usp=sharing"",""จันทบุรี!I330"")"),20)</f>
        <v>20</v>
      </c>
      <c r="J435" s="410">
        <f ca="1">IFERROR(__xludf.DUMMYFUNCTION("IMPORTRANGE(""https://docs.google.com/spreadsheets/d/1SX6NBoVAgQJ6U1MVXOaj8PK2l7WJ3RER9xtqwdhxkhw/edit?usp=sharing"",""จันทบุรี!J330"")"),20)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IFERROR(__xludf.DUMMYFUNCTION("IMPORTRANGE(""https://docs.google.com/spreadsheets/d/1SX6NBoVAgQJ6U1MVXOaj8PK2l7WJ3RER9xtqwdhxkhw/edit?usp=sharing"",""จันทบุรี!L330"")"),100000)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IFERROR(__xludf.DUMMYFUNCTION("IMPORTRANGE(""https://docs.google.com/spreadsheets/d/1SX6NBoVAgQJ6U1MVXOaj8PK2l7WJ3RER9xtqwdhxkhw/edit?usp=sharing"",""จันทบุรี!M330"")"),63555)</f>
        <v>63555</v>
      </c>
      <c r="O435" s="412">
        <f t="shared" ref="O435:O439" ca="1" si="114">+IF(L435&gt;0,N435*100/L435,0)</f>
        <v>63.555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IFERROR(__xludf.DUMMYFUNCTION("IMPORTRANGE(""https://docs.google.com/spreadsheets/d/1SX6NBoVAgQJ6U1MVXOaj8PK2l7WJ3RER9xtqwdhxkhw/edit?usp=sharing"",""จันทบุรี!L331"")"),0)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IFERROR(__xludf.DUMMYFUNCTION("IMPORTRANGE(""https://docs.google.com/spreadsheets/d/1SX6NBoVAgQJ6U1MVXOaj8PK2l7WJ3RER9xtqwdhxkhw/edit?usp=sharing"",""จันทบุรี!M331"")"),0)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IFERROR(__xludf.DUMMYFUNCTION("IMPORTRANGE(""https://docs.google.com/spreadsheets/d/1SX6NBoVAgQJ6U1MVXOaj8PK2l7WJ3RER9xtqwdhxkhw/edit?usp=sharing"",""จันทบุรี!L332"")"),100000)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IFERROR(__xludf.DUMMYFUNCTION("IMPORTRANGE(""https://docs.google.com/spreadsheets/d/1SX6NBoVAgQJ6U1MVXOaj8PK2l7WJ3RER9xtqwdhxkhw/edit?usp=sharing"",""จันทบุรี!M332"")"),63555)</f>
        <v>63555</v>
      </c>
      <c r="O437" s="169">
        <f t="shared" ca="1" si="114"/>
        <v>63.555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IFERROR(__xludf.DUMMYFUNCTION("IMPORTRANGE(""https://docs.google.com/spreadsheets/d/1SX6NBoVAgQJ6U1MVXOaj8PK2l7WJ3RER9xtqwdhxkhw/edit?usp=sharing"",""จันทบุรี!L333"")"),0)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IFERROR(__xludf.DUMMYFUNCTION("IMPORTRANGE(""https://docs.google.com/spreadsheets/d/1SX6NBoVAgQJ6U1MVXOaj8PK2l7WJ3RER9xtqwdhxkhw/edit?usp=sharing"",""จันทบุรี!M333"")"),0)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IFERROR(__xludf.DUMMYFUNCTION("IMPORTRANGE(""https://docs.google.com/spreadsheets/d/1SX6NBoVAgQJ6U1MVXOaj8PK2l7WJ3RER9xtqwdhxkhw/edit?usp=sharing"",""จันทบุรี!L334"")"),100000)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IFERROR(__xludf.DUMMYFUNCTION("IMPORTRANGE(""https://docs.google.com/spreadsheets/d/1SX6NBoVAgQJ6U1MVXOaj8PK2l7WJ3RER9xtqwdhxkhw/edit?usp=sharing"",""จันทบุรี!M334"")"),63555)</f>
        <v>63555</v>
      </c>
      <c r="O439" s="169">
        <f t="shared" ca="1" si="114"/>
        <v>63.555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IFERROR(__xludf.DUMMYFUNCTION("IMPORTRANGE(""https://docs.google.com/spreadsheets/d/1SX6NBoVAgQJ6U1MVXOaj8PK2l7WJ3RER9xtqwdhxkhw/edit?usp=sharing"",""จันทบุรี!M335"")"),53515)</f>
        <v>53515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IFERROR(__xludf.DUMMYFUNCTION("IMPORTRANGE(""https://docs.google.com/spreadsheets/d/1SX6NBoVAgQJ6U1MVXOaj8PK2l7WJ3RER9xtqwdhxkhw/edit?usp=sharing"",""จันทบุรี!M336"")"),0)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IFERROR(__xludf.DUMMYFUNCTION("IMPORTRANGE(""https://docs.google.com/spreadsheets/d/1SX6NBoVAgQJ6U1MVXOaj8PK2l7WJ3RER9xtqwdhxkhw/edit?usp=sharing"",""จันทบุรี!M337"")"),0)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IFERROR(__xludf.DUMMYFUNCTION("IMPORTRANGE(""https://docs.google.com/spreadsheets/d/1SX6NBoVAgQJ6U1MVXOaj8PK2l7WJ3RER9xtqwdhxkhw/edit?usp=sharing"",""จันทบุรี!M338"")"),10040)</f>
        <v>10040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IFERROR(__xludf.DUMMYFUNCTION("IMPORTRANGE(""https://docs.google.com/spreadsheets/d/1SX6NBoVAgQJ6U1MVXOaj8PK2l7WJ3RER9xtqwdhxkhw/edit?usp=sharing"",""จันทบุรี!J340"")"),0)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IFERROR(__xludf.DUMMYFUNCTION("IMPORTRANGE(""https://docs.google.com/spreadsheets/d/1SX6NBoVAgQJ6U1MVXOaj8PK2l7WJ3RER9xtqwdhxkhw/edit?usp=sharing"",""จันทบุรี!J341"")"),1)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IFERROR(__xludf.DUMMYFUNCTION("IMPORTRANGE(""https://docs.google.com/spreadsheets/d/1SX6NBoVAgQJ6U1MVXOaj8PK2l7WJ3RER9xtqwdhxkhw/edit?usp=sharing"",""จันทบุรี!J342"")"),1)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IFERROR(__xludf.DUMMYFUNCTION("IMPORTRANGE(""https://docs.google.com/spreadsheets/d/1SX6NBoVAgQJ6U1MVXOaj8PK2l7WJ3RER9xtqwdhxkhw/edit?usp=sharing"",""จันทบุรี!J343"")"),1)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IFERROR(__xludf.DUMMYFUNCTION("IMPORTRANGE(""https://docs.google.com/spreadsheets/d/1SX6NBoVAgQJ6U1MVXOaj8PK2l7WJ3RER9xtqwdhxkhw/edit?usp=sharing"",""จันทบุรี!I344"")"),20)</f>
        <v>20</v>
      </c>
      <c r="J449" s="201">
        <f ca="1">IFERROR(__xludf.DUMMYFUNCTION("IMPORTRANGE(""https://docs.google.com/spreadsheets/d/1SX6NBoVAgQJ6U1MVXOaj8PK2l7WJ3RER9xtqwdhxkhw/edit?usp=sharing"",""จันทบุรี!J344"")"),20)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IFERROR(__xludf.DUMMYFUNCTION("IMPORTRANGE(""https://docs.google.com/spreadsheets/d/1SX6NBoVAgQJ6U1MVXOaj8PK2l7WJ3RER9xtqwdhxkhw/edit?usp=sharing"",""จันทบุรี!I345"")"),20)</f>
        <v>20</v>
      </c>
      <c r="J450" s="189">
        <f ca="1">IFERROR(__xludf.DUMMYFUNCTION("IMPORTRANGE(""https://docs.google.com/spreadsheets/d/1SX6NBoVAgQJ6U1MVXOaj8PK2l7WJ3RER9xtqwdhxkhw/edit?usp=sharing"",""จันทบุรี!J345"")"),20)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IFERROR(__xludf.DUMMYFUNCTION("IMPORTRANGE(""https://docs.google.com/spreadsheets/d/1SX6NBoVAgQJ6U1MVXOaj8PK2l7WJ3RER9xtqwdhxkhw/edit?usp=sharing"",""จันทบุรี!I346"")"),0)</f>
        <v>0</v>
      </c>
      <c r="J451" s="188">
        <f ca="1">IFERROR(__xludf.DUMMYFUNCTION("IMPORTRANGE(""https://docs.google.com/spreadsheets/d/1SX6NBoVAgQJ6U1MVXOaj8PK2l7WJ3RER9xtqwdhxkhw/edit?usp=sharing"",""จันทบุรี!J346"")"),0)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IFERROR(__xludf.DUMMYFUNCTION("IMPORTRANGE(""https://docs.google.com/spreadsheets/d/1SX6NBoVAgQJ6U1MVXOaj8PK2l7WJ3RER9xtqwdhxkhw/edit?usp=sharing"",""จันทบุรี!I347"")"),0)</f>
        <v>0</v>
      </c>
      <c r="J452" s="188">
        <f ca="1">IFERROR(__xludf.DUMMYFUNCTION("IMPORTRANGE(""https://docs.google.com/spreadsheets/d/1SX6NBoVAgQJ6U1MVXOaj8PK2l7WJ3RER9xtqwdhxkhw/edit?usp=sharing"",""จันทบุรี!J347"")"),0)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IFERROR(__xludf.DUMMYFUNCTION("IMPORTRANGE(""https://docs.google.com/spreadsheets/d/1SX6NBoVAgQJ6U1MVXOaj8PK2l7WJ3RER9xtqwdhxkhw/edit?usp=sharing"",""จันทบุรี!J348"")"),0)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IFERROR(__xludf.DUMMYFUNCTION("IMPORTRANGE(""https://docs.google.com/spreadsheets/d/1SX6NBoVAgQJ6U1MVXOaj8PK2l7WJ3RER9xtqwdhxkhw/edit?usp=sharing"",""จันทบุรี!J349"")"),0)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IFERROR(__xludf.DUMMYFUNCTION("IMPORTRANGE(""https://docs.google.com/spreadsheets/d/1SX6NBoVAgQJ6U1MVXOaj8PK2l7WJ3RER9xtqwdhxkhw/edit?usp=sharing"",""จันทบุรี!I350"")"),18211)</f>
        <v>18211</v>
      </c>
      <c r="J455" s="371">
        <f ca="1">IFERROR(__xludf.DUMMYFUNCTION("IMPORTRANGE(""https://docs.google.com/spreadsheets/d/1SX6NBoVAgQJ6U1MVXOaj8PK2l7WJ3RER9xtqwdhxkhw/edit?usp=sharing"",""จันทบุรี!J350"")"),0)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IFERROR(__xludf.DUMMYFUNCTION("IMPORTRANGE(""https://docs.google.com/spreadsheets/d/1SX6NBoVAgQJ6U1MVXOaj8PK2l7WJ3RER9xtqwdhxkhw/edit?usp=sharing"",""จันทบุรี!L350"")"),162553)</f>
        <v>162553</v>
      </c>
      <c r="M455" s="373"/>
      <c r="N455" s="373">
        <f ca="1">IFERROR(__xludf.DUMMYFUNCTION("IMPORTRANGE(""https://docs.google.com/spreadsheets/d/1SX6NBoVAgQJ6U1MVXOaj8PK2l7WJ3RER9xtqwdhxkhw/edit?usp=sharing"",""จันทบุรี!M350"")"),34860)</f>
        <v>34860</v>
      </c>
      <c r="O455" s="373">
        <f t="shared" ref="O455:O459" ca="1" si="116">+IF(L455&gt;0,N455*100/L455,0)</f>
        <v>21.445313220918717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IFERROR(__xludf.DUMMYFUNCTION("IMPORTRANGE(""https://docs.google.com/spreadsheets/d/1SX6NBoVAgQJ6U1MVXOaj8PK2l7WJ3RER9xtqwdhxkhw/edit?usp=sharing"",""จันทบุรี!L351"")"),0)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IFERROR(__xludf.DUMMYFUNCTION("IMPORTRANGE(""https://docs.google.com/spreadsheets/d/1SX6NBoVAgQJ6U1MVXOaj8PK2l7WJ3RER9xtqwdhxkhw/edit?usp=sharing"",""จันทบุรี!M351"")"),0)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IFERROR(__xludf.DUMMYFUNCTION("IMPORTRANGE(""https://docs.google.com/spreadsheets/d/1SX6NBoVAgQJ6U1MVXOaj8PK2l7WJ3RER9xtqwdhxkhw/edit?usp=sharing"",""จันทบุรี!L352"")"),162553)</f>
        <v>162553</v>
      </c>
      <c r="M457" s="165"/>
      <c r="N457" s="169">
        <f ca="1">IFERROR(__xludf.DUMMYFUNCTION("IMPORTRANGE(""https://docs.google.com/spreadsheets/d/1SX6NBoVAgQJ6U1MVXOaj8PK2l7WJ3RER9xtqwdhxkhw/edit?usp=sharing"",""จันทบุรี!M352"")"),34860)</f>
        <v>34860</v>
      </c>
      <c r="O457" s="169">
        <f t="shared" ca="1" si="116"/>
        <v>21.445313220918717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IFERROR(__xludf.DUMMYFUNCTION("IMPORTRANGE(""https://docs.google.com/spreadsheets/d/1SX6NBoVAgQJ6U1MVXOaj8PK2l7WJ3RER9xtqwdhxkhw/edit?usp=sharing"",""จันทบุรี!L353"")"),0)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IFERROR(__xludf.DUMMYFUNCTION("IMPORTRANGE(""https://docs.google.com/spreadsheets/d/1SX6NBoVAgQJ6U1MVXOaj8PK2l7WJ3RER9xtqwdhxkhw/edit?usp=sharing"",""จันทบุรี!M353"")"),0)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IFERROR(__xludf.DUMMYFUNCTION("IMPORTRANGE(""https://docs.google.com/spreadsheets/d/1SX6NBoVAgQJ6U1MVXOaj8PK2l7WJ3RER9xtqwdhxkhw/edit?usp=sharing"",""จันทบุรี!L354"")"),162553)</f>
        <v>162553</v>
      </c>
      <c r="M459" s="169"/>
      <c r="N459" s="169">
        <f ca="1">IFERROR(__xludf.DUMMYFUNCTION("IMPORTRANGE(""https://docs.google.com/spreadsheets/d/1SX6NBoVAgQJ6U1MVXOaj8PK2l7WJ3RER9xtqwdhxkhw/edit?usp=sharing"",""จันทบุรี!M354"")"),34860)</f>
        <v>34860</v>
      </c>
      <c r="O459" s="169">
        <f t="shared" ca="1" si="116"/>
        <v>21.445313220918717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IFERROR(__xludf.DUMMYFUNCTION("IMPORTRANGE(""https://docs.google.com/spreadsheets/d/1SX6NBoVAgQJ6U1MVXOaj8PK2l7WJ3RER9xtqwdhxkhw/edit?usp=sharing"",""จันทบุรี!M355"")"),0)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IFERROR(__xludf.DUMMYFUNCTION("IMPORTRANGE(""https://docs.google.com/spreadsheets/d/1SX6NBoVAgQJ6U1MVXOaj8PK2l7WJ3RER9xtqwdhxkhw/edit?usp=sharing"",""จันทบุรี!M356"")"),0)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IFERROR(__xludf.DUMMYFUNCTION("IMPORTRANGE(""https://docs.google.com/spreadsheets/d/1SX6NBoVAgQJ6U1MVXOaj8PK2l7WJ3RER9xtqwdhxkhw/edit?usp=sharing"",""จันทบุรี!M357"")"),0)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IFERROR(__xludf.DUMMYFUNCTION("IMPORTRANGE(""https://docs.google.com/spreadsheets/d/1SX6NBoVAgQJ6U1MVXOaj8PK2l7WJ3RER9xtqwdhxkhw/edit?usp=sharing"",""จันทบุรี!M358"")"),34860)</f>
        <v>34860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IFERROR(__xludf.DUMMYFUNCTION("IMPORTRANGE(""https://docs.google.com/spreadsheets/d/1SX6NBoVAgQJ6U1MVXOaj8PK2l7WJ3RER9xtqwdhxkhw/edit?usp=sharing"",""จันทบุรี!I359"")"),18211)</f>
        <v>18211</v>
      </c>
      <c r="J464" s="267">
        <f ca="1">IFERROR(__xludf.DUMMYFUNCTION("IMPORTRANGE(""https://docs.google.com/spreadsheets/d/1SX6NBoVAgQJ6U1MVXOaj8PK2l7WJ3RER9xtqwdhxkhw/edit?usp=sharing"",""จันทบุรี!J359"")"),0)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IFERROR(__xludf.DUMMYFUNCTION("IMPORTRANGE(""https://docs.google.com/spreadsheets/d/1SX6NBoVAgQJ6U1MVXOaj8PK2l7WJ3RER9xtqwdhxkhw/edit?usp=sharing"",""จันทบุรี!I360"")"),18211)</f>
        <v>18211</v>
      </c>
      <c r="J465" s="420">
        <f ca="1">IFERROR(__xludf.DUMMYFUNCTION("IMPORTRANGE(""https://docs.google.com/spreadsheets/d/1SX6NBoVAgQJ6U1MVXOaj8PK2l7WJ3RER9xtqwdhxkhw/edit?usp=sharing"",""จันทบุรี!J360"")"),18210.7399999999)</f>
        <v>18210.7399999999</v>
      </c>
      <c r="K465" s="202">
        <f t="shared" ca="1" si="117"/>
        <v>99.998572291471632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IFERROR(__xludf.DUMMYFUNCTION("IMPORTRANGE(""https://docs.google.com/spreadsheets/d/1SX6NBoVAgQJ6U1MVXOaj8PK2l7WJ3RER9xtqwdhxkhw/edit?usp=sharing"",""จันทบุรี!I361"")"),1421)</f>
        <v>1421</v>
      </c>
      <c r="J466" s="420">
        <f ca="1">IFERROR(__xludf.DUMMYFUNCTION("IMPORTRANGE(""https://docs.google.com/spreadsheets/d/1SX6NBoVAgQJ6U1MVXOaj8PK2l7WJ3RER9xtqwdhxkhw/edit?usp=sharing"",""จันทบุรี!J361"")"),1421)</f>
        <v>1421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IFERROR(__xludf.DUMMYFUNCTION("IMPORTRANGE(""https://docs.google.com/spreadsheets/d/1SX6NBoVAgQJ6U1MVXOaj8PK2l7WJ3RER9xtqwdhxkhw/edit?usp=sharing"",""จันทบุรี!I362"")"),0)</f>
        <v>0</v>
      </c>
      <c r="J467" s="189">
        <f ca="1">IFERROR(__xludf.DUMMYFUNCTION("IMPORTRANGE(""https://docs.google.com/spreadsheets/d/1SX6NBoVAgQJ6U1MVXOaj8PK2l7WJ3RER9xtqwdhxkhw/edit?usp=sharing"",""จันทบุรี!J362"")"),11017)</f>
        <v>11017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IFERROR(__xludf.DUMMYFUNCTION("IMPORTRANGE(""https://docs.google.com/spreadsheets/d/1SX6NBoVAgQJ6U1MVXOaj8PK2l7WJ3RER9xtqwdhxkhw/edit?usp=sharing"",""จันทบุรี!I363"")"),0)</f>
        <v>0</v>
      </c>
      <c r="J468" s="189">
        <f ca="1">IFERROR(__xludf.DUMMYFUNCTION("IMPORTRANGE(""https://docs.google.com/spreadsheets/d/1SX6NBoVAgQJ6U1MVXOaj8PK2l7WJ3RER9xtqwdhxkhw/edit?usp=sharing"",""จันทบุรี!J363"")"),883)</f>
        <v>883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IFERROR(__xludf.DUMMYFUNCTION("IMPORTRANGE(""https://docs.google.com/spreadsheets/d/1SX6NBoVAgQJ6U1MVXOaj8PK2l7WJ3RER9xtqwdhxkhw/edit?usp=sharing"",""จันทบุรี!I364"")"),0)</f>
        <v>0</v>
      </c>
      <c r="J469" s="189">
        <f ca="1">IFERROR(__xludf.DUMMYFUNCTION("IMPORTRANGE(""https://docs.google.com/spreadsheets/d/1SX6NBoVAgQJ6U1MVXOaj8PK2l7WJ3RER9xtqwdhxkhw/edit?usp=sharing"",""จันทบุรี!J364"")"),6212.74)</f>
        <v>6212.74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IFERROR(__xludf.DUMMYFUNCTION("IMPORTRANGE(""https://docs.google.com/spreadsheets/d/1SX6NBoVAgQJ6U1MVXOaj8PK2l7WJ3RER9xtqwdhxkhw/edit?usp=sharing"",""จันทบุรี!I365"")"),0)</f>
        <v>0</v>
      </c>
      <c r="J470" s="189">
        <f ca="1">IFERROR(__xludf.DUMMYFUNCTION("IMPORTRANGE(""https://docs.google.com/spreadsheets/d/1SX6NBoVAgQJ6U1MVXOaj8PK2l7WJ3RER9xtqwdhxkhw/edit?usp=sharing"",""จันทบุรี!J365"")"),447)</f>
        <v>447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IFERROR(__xludf.DUMMYFUNCTION("IMPORTRANGE(""https://docs.google.com/spreadsheets/d/1SX6NBoVAgQJ6U1MVXOaj8PK2l7WJ3RER9xtqwdhxkhw/edit?usp=sharing"",""จันทบุรี!I366"")"),0)</f>
        <v>0</v>
      </c>
      <c r="J471" s="189">
        <f ca="1">IFERROR(__xludf.DUMMYFUNCTION("IMPORTRANGE(""https://docs.google.com/spreadsheets/d/1SX6NBoVAgQJ6U1MVXOaj8PK2l7WJ3RER9xtqwdhxkhw/edit?usp=sharing"",""จันทบุรี!J366"")"),981)</f>
        <v>981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IFERROR(__xludf.DUMMYFUNCTION("IMPORTRANGE(""https://docs.google.com/spreadsheets/d/1SX6NBoVAgQJ6U1MVXOaj8PK2l7WJ3RER9xtqwdhxkhw/edit?usp=sharing"",""จันทบุรี!I367"")"),0)</f>
        <v>0</v>
      </c>
      <c r="J472" s="189">
        <f ca="1">IFERROR(__xludf.DUMMYFUNCTION("IMPORTRANGE(""https://docs.google.com/spreadsheets/d/1SX6NBoVAgQJ6U1MVXOaj8PK2l7WJ3RER9xtqwdhxkhw/edit?usp=sharing"",""จันทบุรี!J367"")"),91)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IFERROR(__xludf.DUMMYFUNCTION("IMPORTRANGE(""https://docs.google.com/spreadsheets/d/1SX6NBoVAgQJ6U1MVXOaj8PK2l7WJ3RER9xtqwdhxkhw/edit?usp=sharing"",""จันทบุรี!I368"")"),18211)</f>
        <v>18211</v>
      </c>
      <c r="J473" s="420">
        <f ca="1">IFERROR(__xludf.DUMMYFUNCTION("IMPORTRANGE(""https://docs.google.com/spreadsheets/d/1SX6NBoVAgQJ6U1MVXOaj8PK2l7WJ3RER9xtqwdhxkhw/edit?usp=sharing"",""จันทบุรี!J368"")"),18211)</f>
        <v>18211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IFERROR(__xludf.DUMMYFUNCTION("IMPORTRANGE(""https://docs.google.com/spreadsheets/d/1SX6NBoVAgQJ6U1MVXOaj8PK2l7WJ3RER9xtqwdhxkhw/edit?usp=sharing"",""จันทบุรี!I369"")"),1421)</f>
        <v>1421</v>
      </c>
      <c r="J474" s="420">
        <f ca="1">IFERROR(__xludf.DUMMYFUNCTION("IMPORTRANGE(""https://docs.google.com/spreadsheets/d/1SX6NBoVAgQJ6U1MVXOaj8PK2l7WJ3RER9xtqwdhxkhw/edit?usp=sharing"",""จันทบุรี!J369"")"),1421)</f>
        <v>1421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IFERROR(__xludf.DUMMYFUNCTION("IMPORTRANGE(""https://docs.google.com/spreadsheets/d/1SX6NBoVAgQJ6U1MVXOaj8PK2l7WJ3RER9xtqwdhxkhw/edit?usp=sharing"",""จันทบุรี!I370"")"),0)</f>
        <v>0</v>
      </c>
      <c r="J475" s="189">
        <f ca="1">IFERROR(__xludf.DUMMYFUNCTION("IMPORTRANGE(""https://docs.google.com/spreadsheets/d/1SX6NBoVAgQJ6U1MVXOaj8PK2l7WJ3RER9xtqwdhxkhw/edit?usp=sharing"",""จันทบุรี!J370"")"),11154)</f>
        <v>11154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IFERROR(__xludf.DUMMYFUNCTION("IMPORTRANGE(""https://docs.google.com/spreadsheets/d/1SX6NBoVAgQJ6U1MVXOaj8PK2l7WJ3RER9xtqwdhxkhw/edit?usp=sharing"",""จันทบุรี!I371"")"),0)</f>
        <v>0</v>
      </c>
      <c r="J476" s="189">
        <f ca="1">IFERROR(__xludf.DUMMYFUNCTION("IMPORTRANGE(""https://docs.google.com/spreadsheets/d/1SX6NBoVAgQJ6U1MVXOaj8PK2l7WJ3RER9xtqwdhxkhw/edit?usp=sharing"",""จันทบุรี!J371"")"),890)</f>
        <v>890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IFERROR(__xludf.DUMMYFUNCTION("IMPORTRANGE(""https://docs.google.com/spreadsheets/d/1SX6NBoVAgQJ6U1MVXOaj8PK2l7WJ3RER9xtqwdhxkhw/edit?usp=sharing"",""จันทบุรี!I372"")"),0)</f>
        <v>0</v>
      </c>
      <c r="J477" s="189">
        <f ca="1">IFERROR(__xludf.DUMMYFUNCTION("IMPORTRANGE(""https://docs.google.com/spreadsheets/d/1SX6NBoVAgQJ6U1MVXOaj8PK2l7WJ3RER9xtqwdhxkhw/edit?usp=sharing"",""จันทบุรี!J372"")"),6076)</f>
        <v>6076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IFERROR(__xludf.DUMMYFUNCTION("IMPORTRANGE(""https://docs.google.com/spreadsheets/d/1SX6NBoVAgQJ6U1MVXOaj8PK2l7WJ3RER9xtqwdhxkhw/edit?usp=sharing"",""จันทบุรี!I373"")"),0)</f>
        <v>0</v>
      </c>
      <c r="J478" s="189">
        <f ca="1">IFERROR(__xludf.DUMMYFUNCTION("IMPORTRANGE(""https://docs.google.com/spreadsheets/d/1SX6NBoVAgQJ6U1MVXOaj8PK2l7WJ3RER9xtqwdhxkhw/edit?usp=sharing"",""จันทบุรี!J373"")"),440)</f>
        <v>440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IFERROR(__xludf.DUMMYFUNCTION("IMPORTRANGE(""https://docs.google.com/spreadsheets/d/1SX6NBoVAgQJ6U1MVXOaj8PK2l7WJ3RER9xtqwdhxkhw/edit?usp=sharing"",""จันทบุรี!I374"")"),0)</f>
        <v>0</v>
      </c>
      <c r="J479" s="189">
        <f ca="1">IFERROR(__xludf.DUMMYFUNCTION("IMPORTRANGE(""https://docs.google.com/spreadsheets/d/1SX6NBoVAgQJ6U1MVXOaj8PK2l7WJ3RER9xtqwdhxkhw/edit?usp=sharing"",""จันทบุรี!J374"")"),981)</f>
        <v>981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IFERROR(__xludf.DUMMYFUNCTION("IMPORTRANGE(""https://docs.google.com/spreadsheets/d/1SX6NBoVAgQJ6U1MVXOaj8PK2l7WJ3RER9xtqwdhxkhw/edit?usp=sharing"",""จันทบุรี!I375"")"),0)</f>
        <v>0</v>
      </c>
      <c r="J480" s="189">
        <f ca="1">IFERROR(__xludf.DUMMYFUNCTION("IMPORTRANGE(""https://docs.google.com/spreadsheets/d/1SX6NBoVAgQJ6U1MVXOaj8PK2l7WJ3RER9xtqwdhxkhw/edit?usp=sharing"",""จันทบุรี!J375"")"),91)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IFERROR(__xludf.DUMMYFUNCTION("IMPORTRANGE(""https://docs.google.com/spreadsheets/d/1SX6NBoVAgQJ6U1MVXOaj8PK2l7WJ3RER9xtqwdhxkhw/edit?usp=sharing"",""จันทบุรี!I376"")"),18211)</f>
        <v>18211</v>
      </c>
      <c r="J481" s="420">
        <f ca="1">IFERROR(__xludf.DUMMYFUNCTION("IMPORTRANGE(""https://docs.google.com/spreadsheets/d/1SX6NBoVAgQJ6U1MVXOaj8PK2l7WJ3RER9xtqwdhxkhw/edit?usp=sharing"",""จันทบุรี!J376"")"),0)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IFERROR(__xludf.DUMMYFUNCTION("IMPORTRANGE(""https://docs.google.com/spreadsheets/d/1SX6NBoVAgQJ6U1MVXOaj8PK2l7WJ3RER9xtqwdhxkhw/edit?usp=sharing"",""จันทบุรี!I377"")"),1421)</f>
        <v>1421</v>
      </c>
      <c r="J482" s="420">
        <f ca="1">IFERROR(__xludf.DUMMYFUNCTION("IMPORTRANGE(""https://docs.google.com/spreadsheets/d/1SX6NBoVAgQJ6U1MVXOaj8PK2l7WJ3RER9xtqwdhxkhw/edit?usp=sharing"",""จันทบุรี!J377"")"),0)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IFERROR(__xludf.DUMMYFUNCTION("IMPORTRANGE(""https://docs.google.com/spreadsheets/d/1SX6NBoVAgQJ6U1MVXOaj8PK2l7WJ3RER9xtqwdhxkhw/edit?usp=sharing"",""จันทบุรี!I378"")"),0)</f>
        <v>0</v>
      </c>
      <c r="J483" s="189">
        <f ca="1">IFERROR(__xludf.DUMMYFUNCTION("IMPORTRANGE(""https://docs.google.com/spreadsheets/d/1SX6NBoVAgQJ6U1MVXOaj8PK2l7WJ3RER9xtqwdhxkhw/edit?usp=sharing"",""จันทบุรี!J378"")"),0)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IFERROR(__xludf.DUMMYFUNCTION("IMPORTRANGE(""https://docs.google.com/spreadsheets/d/1SX6NBoVAgQJ6U1MVXOaj8PK2l7WJ3RER9xtqwdhxkhw/edit?usp=sharing"",""จันทบุรี!I379"")"),0)</f>
        <v>0</v>
      </c>
      <c r="J484" s="189">
        <f ca="1">IFERROR(__xludf.DUMMYFUNCTION("IMPORTRANGE(""https://docs.google.com/spreadsheets/d/1SX6NBoVAgQJ6U1MVXOaj8PK2l7WJ3RER9xtqwdhxkhw/edit?usp=sharing"",""จันทบุรี!J379"")"),0)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IFERROR(__xludf.DUMMYFUNCTION("IMPORTRANGE(""https://docs.google.com/spreadsheets/d/1SX6NBoVAgQJ6U1MVXOaj8PK2l7WJ3RER9xtqwdhxkhw/edit?usp=sharing"",""จันทบุรี!I380"")"),0)</f>
        <v>0</v>
      </c>
      <c r="J485" s="189">
        <f ca="1">IFERROR(__xludf.DUMMYFUNCTION("IMPORTRANGE(""https://docs.google.com/spreadsheets/d/1SX6NBoVAgQJ6U1MVXOaj8PK2l7WJ3RER9xtqwdhxkhw/edit?usp=sharing"",""จันทบุรี!J380"")"),0)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IFERROR(__xludf.DUMMYFUNCTION("IMPORTRANGE(""https://docs.google.com/spreadsheets/d/1SX6NBoVAgQJ6U1MVXOaj8PK2l7WJ3RER9xtqwdhxkhw/edit?usp=sharing"",""จันทบุรี!I381"")"),0)</f>
        <v>0</v>
      </c>
      <c r="J486" s="189">
        <f ca="1">IFERROR(__xludf.DUMMYFUNCTION("IMPORTRANGE(""https://docs.google.com/spreadsheets/d/1SX6NBoVAgQJ6U1MVXOaj8PK2l7WJ3RER9xtqwdhxkhw/edit?usp=sharing"",""จันทบุรี!J381"")"),0)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IFERROR(__xludf.DUMMYFUNCTION("IMPORTRANGE(""https://docs.google.com/spreadsheets/d/1SX6NBoVAgQJ6U1MVXOaj8PK2l7WJ3RER9xtqwdhxkhw/edit?usp=sharing"",""จันทบุรี!I382"")"),0)</f>
        <v>0</v>
      </c>
      <c r="J487" s="420">
        <f ca="1">IFERROR(__xludf.DUMMYFUNCTION("IMPORTRANGE(""https://docs.google.com/spreadsheets/d/1SX6NBoVAgQJ6U1MVXOaj8PK2l7WJ3RER9xtqwdhxkhw/edit?usp=sharing"",""จันทบุรี!J382"")"),0)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IFERROR(__xludf.DUMMYFUNCTION("IMPORTRANGE(""https://docs.google.com/spreadsheets/d/1SX6NBoVAgQJ6U1MVXOaj8PK2l7WJ3RER9xtqwdhxkhw/edit?usp=sharing"",""จันทบุรี!I383"")"),0)</f>
        <v>0</v>
      </c>
      <c r="J488" s="420">
        <f ca="1">IFERROR(__xludf.DUMMYFUNCTION("IMPORTRANGE(""https://docs.google.com/spreadsheets/d/1SX6NBoVAgQJ6U1MVXOaj8PK2l7WJ3RER9xtqwdhxkhw/edit?usp=sharing"",""จันทบุรี!J383"")"),0)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IFERROR(__xludf.DUMMYFUNCTION("IMPORTRANGE(""https://docs.google.com/spreadsheets/d/1SX6NBoVAgQJ6U1MVXOaj8PK2l7WJ3RER9xtqwdhxkhw/edit?usp=sharing"",""จันทบุรี!I384"")"),0)</f>
        <v>0</v>
      </c>
      <c r="J489" s="189">
        <f ca="1">IFERROR(__xludf.DUMMYFUNCTION("IMPORTRANGE(""https://docs.google.com/spreadsheets/d/1SX6NBoVAgQJ6U1MVXOaj8PK2l7WJ3RER9xtqwdhxkhw/edit?usp=sharing"",""จันทบุรี!J384"")"),0)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IFERROR(__xludf.DUMMYFUNCTION("IMPORTRANGE(""https://docs.google.com/spreadsheets/d/1SX6NBoVAgQJ6U1MVXOaj8PK2l7WJ3RER9xtqwdhxkhw/edit?usp=sharing"",""จันทบุรี!I385"")"),0)</f>
        <v>0</v>
      </c>
      <c r="J490" s="189">
        <f ca="1">IFERROR(__xludf.DUMMYFUNCTION("IMPORTRANGE(""https://docs.google.com/spreadsheets/d/1SX6NBoVAgQJ6U1MVXOaj8PK2l7WJ3RER9xtqwdhxkhw/edit?usp=sharing"",""จันทบุรี!J385"")"),0)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IFERROR(__xludf.DUMMYFUNCTION("IMPORTRANGE(""https://docs.google.com/spreadsheets/d/1SX6NBoVAgQJ6U1MVXOaj8PK2l7WJ3RER9xtqwdhxkhw/edit?usp=sharing"",""จันทบุรี!I386"")"),0)</f>
        <v>0</v>
      </c>
      <c r="J491" s="189">
        <f ca="1">IFERROR(__xludf.DUMMYFUNCTION("IMPORTRANGE(""https://docs.google.com/spreadsheets/d/1SX6NBoVAgQJ6U1MVXOaj8PK2l7WJ3RER9xtqwdhxkhw/edit?usp=sharing"",""จันทบุรี!J386"")"),0)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IFERROR(__xludf.DUMMYFUNCTION("IMPORTRANGE(""https://docs.google.com/spreadsheets/d/1SX6NBoVAgQJ6U1MVXOaj8PK2l7WJ3RER9xtqwdhxkhw/edit?usp=sharing"",""จันทบุรี!I387"")"),0)</f>
        <v>0</v>
      </c>
      <c r="J492" s="189">
        <f ca="1">IFERROR(__xludf.DUMMYFUNCTION("IMPORTRANGE(""https://docs.google.com/spreadsheets/d/1SX6NBoVAgQJ6U1MVXOaj8PK2l7WJ3RER9xtqwdhxkhw/edit?usp=sharing"",""จันทบุรี!J387"")"),0)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IFERROR(__xludf.DUMMYFUNCTION("IMPORTRANGE(""https://docs.google.com/spreadsheets/d/1SX6NBoVAgQJ6U1MVXOaj8PK2l7WJ3RER9xtqwdhxkhw/edit?usp=sharing"",""จันทบุรี!I388"")"),0)</f>
        <v>0</v>
      </c>
      <c r="J493" s="189">
        <f ca="1">IFERROR(__xludf.DUMMYFUNCTION("IMPORTRANGE(""https://docs.google.com/spreadsheets/d/1SX6NBoVAgQJ6U1MVXOaj8PK2l7WJ3RER9xtqwdhxkhw/edit?usp=sharing"",""จันทบุรี!J388"")"),0)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IFERROR(__xludf.DUMMYFUNCTION("IMPORTRANGE(""https://docs.google.com/spreadsheets/d/1SX6NBoVAgQJ6U1MVXOaj8PK2l7WJ3RER9xtqwdhxkhw/edit?usp=sharing"",""จันทบุรี!I389"")"),0)</f>
        <v>0</v>
      </c>
      <c r="J494" s="436">
        <f ca="1">IFERROR(__xludf.DUMMYFUNCTION("IMPORTRANGE(""https://docs.google.com/spreadsheets/d/1SX6NBoVAgQJ6U1MVXOaj8PK2l7WJ3RER9xtqwdhxkhw/edit?usp=sharing"",""จันทบุรี!J389"")"),0)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IFERROR(__xludf.DUMMYFUNCTION("IMPORTRANGE(""https://docs.google.com/spreadsheets/d/1SX6NBoVAgQJ6U1MVXOaj8PK2l7WJ3RER9xtqwdhxkhw/edit?usp=sharing"",""จันทบุรี!I390"")"),0)</f>
        <v>0</v>
      </c>
      <c r="J495" s="436">
        <f ca="1">IFERROR(__xludf.DUMMYFUNCTION("IMPORTRANGE(""https://docs.google.com/spreadsheets/d/1SX6NBoVAgQJ6U1MVXOaj8PK2l7WJ3RER9xtqwdhxkhw/edit?usp=sharing"",""จันทบุรี!J390"")"),0)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IFERROR(__xludf.DUMMYFUNCTION("IMPORTRANGE(""https://docs.google.com/spreadsheets/d/1SX6NBoVAgQJ6U1MVXOaj8PK2l7WJ3RER9xtqwdhxkhw/edit?usp=sharing"",""จันทบุรี!I391"")"),0)</f>
        <v>0</v>
      </c>
      <c r="J496" s="436">
        <f ca="1">IFERROR(__xludf.DUMMYFUNCTION("IMPORTRANGE(""https://docs.google.com/spreadsheets/d/1SX6NBoVAgQJ6U1MVXOaj8PK2l7WJ3RER9xtqwdhxkhw/edit?usp=sharing"",""จันทบุรี!J391"")"),0)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IFERROR(__xludf.DUMMYFUNCTION("IMPORTRANGE(""https://docs.google.com/spreadsheets/d/1SX6NBoVAgQJ6U1MVXOaj8PK2l7WJ3RER9xtqwdhxkhw/edit?usp=sharing"",""จันทบุรี!I392"")"),783)</f>
        <v>783</v>
      </c>
      <c r="J497" s="443">
        <f ca="1">IFERROR(__xludf.DUMMYFUNCTION("IMPORTRANGE(""https://docs.google.com/spreadsheets/d/1SX6NBoVAgQJ6U1MVXOaj8PK2l7WJ3RER9xtqwdhxkhw/edit?usp=sharing"",""จันทบุรี!J392"")"),290)</f>
        <v>290</v>
      </c>
      <c r="K497" s="444">
        <f t="shared" ca="1" si="117"/>
        <v>37.037037037037038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IFERROR(__xludf.DUMMYFUNCTION("IMPORTRANGE(""https://docs.google.com/spreadsheets/d/1SX6NBoVAgQJ6U1MVXOaj8PK2l7WJ3RER9xtqwdhxkhw/edit?usp=sharing"",""จันทบุรี!I393"")"),783)</f>
        <v>783</v>
      </c>
      <c r="J498" s="420">
        <f ca="1">IFERROR(__xludf.DUMMYFUNCTION("IMPORTRANGE(""https://docs.google.com/spreadsheets/d/1SX6NBoVAgQJ6U1MVXOaj8PK2l7WJ3RER9xtqwdhxkhw/edit?usp=sharing"",""จันทบุรี!J393"")"),290)</f>
        <v>290</v>
      </c>
      <c r="K498" s="202">
        <f t="shared" ca="1" si="117"/>
        <v>37.037037037037038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IFERROR(__xludf.DUMMYFUNCTION("IMPORTRANGE(""https://docs.google.com/spreadsheets/d/1SX6NBoVAgQJ6U1MVXOaj8PK2l7WJ3RER9xtqwdhxkhw/edit?usp=sharing"",""จันทบุรี!I394"")"),73)</f>
        <v>73</v>
      </c>
      <c r="J499" s="420">
        <f ca="1">IFERROR(__xludf.DUMMYFUNCTION("IMPORTRANGE(""https://docs.google.com/spreadsheets/d/1SX6NBoVAgQJ6U1MVXOaj8PK2l7WJ3RER9xtqwdhxkhw/edit?usp=sharing"",""จันทบุรี!J394"")"),34)</f>
        <v>34</v>
      </c>
      <c r="K499" s="202">
        <f t="shared" ca="1" si="117"/>
        <v>46.575342465753423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IFERROR(__xludf.DUMMYFUNCTION("IMPORTRANGE(""https://docs.google.com/spreadsheets/d/1SX6NBoVAgQJ6U1MVXOaj8PK2l7WJ3RER9xtqwdhxkhw/edit?usp=sharing"",""จันทบุรี!I395"")"),0)</f>
        <v>0</v>
      </c>
      <c r="J500" s="162">
        <f ca="1">IFERROR(__xludf.DUMMYFUNCTION("IMPORTRANGE(""https://docs.google.com/spreadsheets/d/1SX6NBoVAgQJ6U1MVXOaj8PK2l7WJ3RER9xtqwdhxkhw/edit?usp=sharing"",""จันทบุรี!J395"")"),290)</f>
        <v>290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IFERROR(__xludf.DUMMYFUNCTION("IMPORTRANGE(""https://docs.google.com/spreadsheets/d/1SX6NBoVAgQJ6U1MVXOaj8PK2l7WJ3RER9xtqwdhxkhw/edit?usp=sharing"",""จันทบุรี!I396"")"),0)</f>
        <v>0</v>
      </c>
      <c r="J501" s="162">
        <f ca="1">IFERROR(__xludf.DUMMYFUNCTION("IMPORTRANGE(""https://docs.google.com/spreadsheets/d/1SX6NBoVAgQJ6U1MVXOaj8PK2l7WJ3RER9xtqwdhxkhw/edit?usp=sharing"",""จันทบุรี!J396"")"),34)</f>
        <v>34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IFERROR(__xludf.DUMMYFUNCTION("IMPORTRANGE(""https://docs.google.com/spreadsheets/d/1SX6NBoVAgQJ6U1MVXOaj8PK2l7WJ3RER9xtqwdhxkhw/edit?usp=sharing"",""จันทบุรี!I397"")"),0)</f>
        <v>0</v>
      </c>
      <c r="J502" s="189">
        <f ca="1">IFERROR(__xludf.DUMMYFUNCTION("IMPORTRANGE(""https://docs.google.com/spreadsheets/d/1SX6NBoVAgQJ6U1MVXOaj8PK2l7WJ3RER9xtqwdhxkhw/edit?usp=sharing"",""จันทบุรี!J397"")"),290)</f>
        <v>290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IFERROR(__xludf.DUMMYFUNCTION("IMPORTRANGE(""https://docs.google.com/spreadsheets/d/1SX6NBoVAgQJ6U1MVXOaj8PK2l7WJ3RER9xtqwdhxkhw/edit?usp=sharing"",""จันทบุรี!I398"")"),0)</f>
        <v>0</v>
      </c>
      <c r="J503" s="198">
        <f ca="1">IFERROR(__xludf.DUMMYFUNCTION("IMPORTRANGE(""https://docs.google.com/spreadsheets/d/1SX6NBoVAgQJ6U1MVXOaj8PK2l7WJ3RER9xtqwdhxkhw/edit?usp=sharing"",""จันทบุรี!J398"")"),34)</f>
        <v>34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IFERROR(__xludf.DUMMYFUNCTION("IMPORTRANGE(""https://docs.google.com/spreadsheets/d/1SX6NBoVAgQJ6U1MVXOaj8PK2l7WJ3RER9xtqwdhxkhw/edit?usp=sharing"",""จันทบุรี!I399"")"),0)</f>
        <v>0</v>
      </c>
      <c r="J504" s="189">
        <f ca="1">IFERROR(__xludf.DUMMYFUNCTION("IMPORTRANGE(""https://docs.google.com/spreadsheets/d/1SX6NBoVAgQJ6U1MVXOaj8PK2l7WJ3RER9xtqwdhxkhw/edit?usp=sharing"",""จันทบุรี!J399"")"),0)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IFERROR(__xludf.DUMMYFUNCTION("IMPORTRANGE(""https://docs.google.com/spreadsheets/d/1SX6NBoVAgQJ6U1MVXOaj8PK2l7WJ3RER9xtqwdhxkhw/edit?usp=sharing"",""จันทบุรี!I400"")"),0)</f>
        <v>0</v>
      </c>
      <c r="J505" s="198">
        <f ca="1">IFERROR(__xludf.DUMMYFUNCTION("IMPORTRANGE(""https://docs.google.com/spreadsheets/d/1SX6NBoVAgQJ6U1MVXOaj8PK2l7WJ3RER9xtqwdhxkhw/edit?usp=sharing"",""จันทบุรี!J400"")"),0)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IFERROR(__xludf.DUMMYFUNCTION("IMPORTRANGE(""https://docs.google.com/spreadsheets/d/1SX6NBoVAgQJ6U1MVXOaj8PK2l7WJ3RER9xtqwdhxkhw/edit?usp=sharing"",""จันทบุรี!I401"")"),0)</f>
        <v>0</v>
      </c>
      <c r="J506" s="189">
        <f ca="1">IFERROR(__xludf.DUMMYFUNCTION("IMPORTRANGE(""https://docs.google.com/spreadsheets/d/1SX6NBoVAgQJ6U1MVXOaj8PK2l7WJ3RER9xtqwdhxkhw/edit?usp=sharing"",""จันทบุรี!J401"")"),0)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IFERROR(__xludf.DUMMYFUNCTION("IMPORTRANGE(""https://docs.google.com/spreadsheets/d/1SX6NBoVAgQJ6U1MVXOaj8PK2l7WJ3RER9xtqwdhxkhw/edit?usp=sharing"",""จันทบุรี!I402"")"),0)</f>
        <v>0</v>
      </c>
      <c r="J507" s="198">
        <f ca="1">IFERROR(__xludf.DUMMYFUNCTION("IMPORTRANGE(""https://docs.google.com/spreadsheets/d/1SX6NBoVAgQJ6U1MVXOaj8PK2l7WJ3RER9xtqwdhxkhw/edit?usp=sharing"",""จันทบุรี!J402"")"),0)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IFERROR(__xludf.DUMMYFUNCTION("IMPORTRANGE(""https://docs.google.com/spreadsheets/d/1SX6NBoVAgQJ6U1MVXOaj8PK2l7WJ3RER9xtqwdhxkhw/edit?usp=sharing"",""จันทบุรี!I403"")"),0)</f>
        <v>0</v>
      </c>
      <c r="J508" s="162">
        <f ca="1">IFERROR(__xludf.DUMMYFUNCTION("IMPORTRANGE(""https://docs.google.com/spreadsheets/d/1SX6NBoVAgQJ6U1MVXOaj8PK2l7WJ3RER9xtqwdhxkhw/edit?usp=sharing"",""จันทบุรี!J403"")"),0)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IFERROR(__xludf.DUMMYFUNCTION("IMPORTRANGE(""https://docs.google.com/spreadsheets/d/1SX6NBoVAgQJ6U1MVXOaj8PK2l7WJ3RER9xtqwdhxkhw/edit?usp=sharing"",""จันทบุรี!I404"")"),0)</f>
        <v>0</v>
      </c>
      <c r="J509" s="162">
        <f ca="1">IFERROR(__xludf.DUMMYFUNCTION("IMPORTRANGE(""https://docs.google.com/spreadsheets/d/1SX6NBoVAgQJ6U1MVXOaj8PK2l7WJ3RER9xtqwdhxkhw/edit?usp=sharing"",""จันทบุรี!J404"")"),0)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IFERROR(__xludf.DUMMYFUNCTION("IMPORTRANGE(""https://docs.google.com/spreadsheets/d/1SX6NBoVAgQJ6U1MVXOaj8PK2l7WJ3RER9xtqwdhxkhw/edit?usp=sharing"",""จันทบุรี!I405"")"),0)</f>
        <v>0</v>
      </c>
      <c r="J510" s="198">
        <f ca="1">IFERROR(__xludf.DUMMYFUNCTION("IMPORTRANGE(""https://docs.google.com/spreadsheets/d/1SX6NBoVAgQJ6U1MVXOaj8PK2l7WJ3RER9xtqwdhxkhw/edit?usp=sharing"",""จันทบุรี!J405"")"),0)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IFERROR(__xludf.DUMMYFUNCTION("IMPORTRANGE(""https://docs.google.com/spreadsheets/d/1SX6NBoVAgQJ6U1MVXOaj8PK2l7WJ3RER9xtqwdhxkhw/edit?usp=sharing"",""จันทบุรี!I406"")"),0)</f>
        <v>0</v>
      </c>
      <c r="J511" s="198">
        <f ca="1">IFERROR(__xludf.DUMMYFUNCTION("IMPORTRANGE(""https://docs.google.com/spreadsheets/d/1SX6NBoVAgQJ6U1MVXOaj8PK2l7WJ3RER9xtqwdhxkhw/edit?usp=sharing"",""จันทบุรี!J406"")"),0)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IFERROR(__xludf.DUMMYFUNCTION("IMPORTRANGE(""https://docs.google.com/spreadsheets/d/1SX6NBoVAgQJ6U1MVXOaj8PK2l7WJ3RER9xtqwdhxkhw/edit?usp=sharing"",""จันทบุรี!I407"")"),0)</f>
        <v>0</v>
      </c>
      <c r="J512" s="198">
        <f ca="1">IFERROR(__xludf.DUMMYFUNCTION("IMPORTRANGE(""https://docs.google.com/spreadsheets/d/1SX6NBoVAgQJ6U1MVXOaj8PK2l7WJ3RER9xtqwdhxkhw/edit?usp=sharing"",""จันทบุรี!J407"")"),0)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IFERROR(__xludf.DUMMYFUNCTION("IMPORTRANGE(""https://docs.google.com/spreadsheets/d/1SX6NBoVAgQJ6U1MVXOaj8PK2l7WJ3RER9xtqwdhxkhw/edit?usp=sharing"",""จันทบุรี!I408"")"),0)</f>
        <v>0</v>
      </c>
      <c r="J513" s="198">
        <f ca="1">IFERROR(__xludf.DUMMYFUNCTION("IMPORTRANGE(""https://docs.google.com/spreadsheets/d/1SX6NBoVAgQJ6U1MVXOaj8PK2l7WJ3RER9xtqwdhxkhw/edit?usp=sharing"",""จันทบุรี!J408"")"),0)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IFERROR(__xludf.DUMMYFUNCTION("IMPORTRANGE(""https://docs.google.com/spreadsheets/d/1SX6NBoVAgQJ6U1MVXOaj8PK2l7WJ3RER9xtqwdhxkhw/edit?usp=sharing"",""จันทบุรี!I409"")"),0)</f>
        <v>0</v>
      </c>
      <c r="J514" s="198">
        <f ca="1">IFERROR(__xludf.DUMMYFUNCTION("IMPORTRANGE(""https://docs.google.com/spreadsheets/d/1SX6NBoVAgQJ6U1MVXOaj8PK2l7WJ3RER9xtqwdhxkhw/edit?usp=sharing"",""จันทบุรี!J409"")"),0)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IFERROR(__xludf.DUMMYFUNCTION("IMPORTRANGE(""https://docs.google.com/spreadsheets/d/1SX6NBoVAgQJ6U1MVXOaj8PK2l7WJ3RER9xtqwdhxkhw/edit?usp=sharing"",""จันทบุรี!I410"")"),0)</f>
        <v>0</v>
      </c>
      <c r="J515" s="198">
        <f ca="1">IFERROR(__xludf.DUMMYFUNCTION("IMPORTRANGE(""https://docs.google.com/spreadsheets/d/1SX6NBoVAgQJ6U1MVXOaj8PK2l7WJ3RER9xtqwdhxkhw/edit?usp=sharing"",""จันทบุรี!J410"")"),0)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IFERROR(__xludf.DUMMYFUNCTION("IMPORTRANGE(""https://docs.google.com/spreadsheets/d/1SX6NBoVAgQJ6U1MVXOaj8PK2l7WJ3RER9xtqwdhxkhw/edit?usp=sharing"",""จันทบุรี!I411"")"),0)</f>
        <v>0</v>
      </c>
      <c r="J516" s="267">
        <f ca="1">IFERROR(__xludf.DUMMYFUNCTION("IMPORTRANGE(""https://docs.google.com/spreadsheets/d/1SX6NBoVAgQJ6U1MVXOaj8PK2l7WJ3RER9xtqwdhxkhw/edit?usp=sharing"",""จันทบุรี!J411"")"),0)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IFERROR(__xludf.DUMMYFUNCTION("IMPORTRANGE(""https://docs.google.com/spreadsheets/d/1SX6NBoVAgQJ6U1MVXOaj8PK2l7WJ3RER9xtqwdhxkhw/edit?usp=sharing"",""จันทบุรี!I412"")"),0)</f>
        <v>0</v>
      </c>
      <c r="J517" s="284">
        <f ca="1">IFERROR(__xludf.DUMMYFUNCTION("IMPORTRANGE(""https://docs.google.com/spreadsheets/d/1SX6NBoVAgQJ6U1MVXOaj8PK2l7WJ3RER9xtqwdhxkhw/edit?usp=sharing"",""จันทบุรี!J412"")"),0)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IFERROR(__xludf.DUMMYFUNCTION("IMPORTRANGE(""https://docs.google.com/spreadsheets/d/1SX6NBoVAgQJ6U1MVXOaj8PK2l7WJ3RER9xtqwdhxkhw/edit?usp=sharing"",""จันทบุรี!I413"")"),0)</f>
        <v>0</v>
      </c>
      <c r="J518" s="284">
        <f ca="1">IFERROR(__xludf.DUMMYFUNCTION("IMPORTRANGE(""https://docs.google.com/spreadsheets/d/1SX6NBoVAgQJ6U1MVXOaj8PK2l7WJ3RER9xtqwdhxkhw/edit?usp=sharing"",""จันทบุรี!J413"")"),0)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IFERROR(__xludf.DUMMYFUNCTION("IMPORTRANGE(""https://docs.google.com/spreadsheets/d/1SX6NBoVAgQJ6U1MVXOaj8PK2l7WJ3RER9xtqwdhxkhw/edit?usp=sharing"",""จันทบุรี!I414"")"),0)</f>
        <v>0</v>
      </c>
      <c r="J519" s="188">
        <f ca="1">IFERROR(__xludf.DUMMYFUNCTION("IMPORTRANGE(""https://docs.google.com/spreadsheets/d/1SX6NBoVAgQJ6U1MVXOaj8PK2l7WJ3RER9xtqwdhxkhw/edit?usp=sharing"",""จันทบุรี!J414"")"),0)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IFERROR(__xludf.DUMMYFUNCTION("IMPORTRANGE(""https://docs.google.com/spreadsheets/d/1SX6NBoVAgQJ6U1MVXOaj8PK2l7WJ3RER9xtqwdhxkhw/edit?usp=sharing"",""จันทบุรี!I415"")"),0)</f>
        <v>0</v>
      </c>
      <c r="J520" s="188">
        <f ca="1">IFERROR(__xludf.DUMMYFUNCTION("IMPORTRANGE(""https://docs.google.com/spreadsheets/d/1SX6NBoVAgQJ6U1MVXOaj8PK2l7WJ3RER9xtqwdhxkhw/edit?usp=sharing"",""จันทบุรี!J415"")"),0)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IFERROR(__xludf.DUMMYFUNCTION("IMPORTRANGE(""https://docs.google.com/spreadsheets/d/1SX6NBoVAgQJ6U1MVXOaj8PK2l7WJ3RER9xtqwdhxkhw/edit?usp=sharing"",""จันทบุรี!I416"")"),0)</f>
        <v>0</v>
      </c>
      <c r="J521" s="188">
        <f ca="1">IFERROR(__xludf.DUMMYFUNCTION("IMPORTRANGE(""https://docs.google.com/spreadsheets/d/1SX6NBoVAgQJ6U1MVXOaj8PK2l7WJ3RER9xtqwdhxkhw/edit?usp=sharing"",""จันทบุรี!J416"")"),0)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IFERROR(__xludf.DUMMYFUNCTION("IMPORTRANGE(""https://docs.google.com/spreadsheets/d/1SX6NBoVAgQJ6U1MVXOaj8PK2l7WJ3RER9xtqwdhxkhw/edit?usp=sharing"",""จันทบุรี!I417"")"),0)</f>
        <v>0</v>
      </c>
      <c r="J522" s="188">
        <f ca="1">IFERROR(__xludf.DUMMYFUNCTION("IMPORTRANGE(""https://docs.google.com/spreadsheets/d/1SX6NBoVAgQJ6U1MVXOaj8PK2l7WJ3RER9xtqwdhxkhw/edit?usp=sharing"",""จันทบุรี!J417"")"),0)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IFERROR(__xludf.DUMMYFUNCTION("IMPORTRANGE(""https://docs.google.com/spreadsheets/d/1SX6NBoVAgQJ6U1MVXOaj8PK2l7WJ3RER9xtqwdhxkhw/edit?usp=sharing"",""จันทบุรี!I418"")"),0)</f>
        <v>0</v>
      </c>
      <c r="J523" s="188">
        <f ca="1">IFERROR(__xludf.DUMMYFUNCTION("IMPORTRANGE(""https://docs.google.com/spreadsheets/d/1SX6NBoVAgQJ6U1MVXOaj8PK2l7WJ3RER9xtqwdhxkhw/edit?usp=sharing"",""จันทบุรี!J418"")"),0)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IFERROR(__xludf.DUMMYFUNCTION("IMPORTRANGE(""https://docs.google.com/spreadsheets/d/1SX6NBoVAgQJ6U1MVXOaj8PK2l7WJ3RER9xtqwdhxkhw/edit?usp=sharing"",""จันทบุรี!I419"")"),0)</f>
        <v>0</v>
      </c>
      <c r="J524" s="188">
        <f ca="1">IFERROR(__xludf.DUMMYFUNCTION("IMPORTRANGE(""https://docs.google.com/spreadsheets/d/1SX6NBoVAgQJ6U1MVXOaj8PK2l7WJ3RER9xtqwdhxkhw/edit?usp=sharing"",""จันทบุรี!J419"")"),0)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IFERROR(__xludf.DUMMYFUNCTION("IMPORTRANGE(""https://docs.google.com/spreadsheets/d/1SX6NBoVAgQJ6U1MVXOaj8PK2l7WJ3RER9xtqwdhxkhw/edit?usp=sharing"",""จันทบุรี!I420"")"),0)</f>
        <v>0</v>
      </c>
      <c r="J525" s="284">
        <f ca="1">IFERROR(__xludf.DUMMYFUNCTION("IMPORTRANGE(""https://docs.google.com/spreadsheets/d/1SX6NBoVAgQJ6U1MVXOaj8PK2l7WJ3RER9xtqwdhxkhw/edit?usp=sharing"",""จันทบุรี!J420"")"),0)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IFERROR(__xludf.DUMMYFUNCTION("IMPORTRANGE(""https://docs.google.com/spreadsheets/d/1SX6NBoVAgQJ6U1MVXOaj8PK2l7WJ3RER9xtqwdhxkhw/edit?usp=sharing"",""จันทบุรี!I421"")"),0)</f>
        <v>0</v>
      </c>
      <c r="J526" s="284">
        <f ca="1">IFERROR(__xludf.DUMMYFUNCTION("IMPORTRANGE(""https://docs.google.com/spreadsheets/d/1SX6NBoVAgQJ6U1MVXOaj8PK2l7WJ3RER9xtqwdhxkhw/edit?usp=sharing"",""จันทบุรี!J421"")"),0)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IFERROR(__xludf.DUMMYFUNCTION("IMPORTRANGE(""https://docs.google.com/spreadsheets/d/1SX6NBoVAgQJ6U1MVXOaj8PK2l7WJ3RER9xtqwdhxkhw/edit?usp=sharing"",""จันทบุรี!I422"")"),0)</f>
        <v>0</v>
      </c>
      <c r="J527" s="198">
        <f ca="1">IFERROR(__xludf.DUMMYFUNCTION("IMPORTRANGE(""https://docs.google.com/spreadsheets/d/1SX6NBoVAgQJ6U1MVXOaj8PK2l7WJ3RER9xtqwdhxkhw/edit?usp=sharing"",""จันทบุรี!J422"")"),0)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IFERROR(__xludf.DUMMYFUNCTION("IMPORTRANGE(""https://docs.google.com/spreadsheets/d/1SX6NBoVAgQJ6U1MVXOaj8PK2l7WJ3RER9xtqwdhxkhw/edit?usp=sharing"",""จันทบุรี!I423"")"),0)</f>
        <v>0</v>
      </c>
      <c r="J528" s="198">
        <f ca="1">IFERROR(__xludf.DUMMYFUNCTION("IMPORTRANGE(""https://docs.google.com/spreadsheets/d/1SX6NBoVAgQJ6U1MVXOaj8PK2l7WJ3RER9xtqwdhxkhw/edit?usp=sharing"",""จันทบุรี!J423"")"),0)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IFERROR(__xludf.DUMMYFUNCTION("IMPORTRANGE(""https://docs.google.com/spreadsheets/d/1SX6NBoVAgQJ6U1MVXOaj8PK2l7WJ3RER9xtqwdhxkhw/edit?usp=sharing"",""จันทบุรี!I424"")"),0)</f>
        <v>0</v>
      </c>
      <c r="J529" s="198">
        <f ca="1">IFERROR(__xludf.DUMMYFUNCTION("IMPORTRANGE(""https://docs.google.com/spreadsheets/d/1SX6NBoVAgQJ6U1MVXOaj8PK2l7WJ3RER9xtqwdhxkhw/edit?usp=sharing"",""จันทบุรี!J424"")"),0)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IFERROR(__xludf.DUMMYFUNCTION("IMPORTRANGE(""https://docs.google.com/spreadsheets/d/1SX6NBoVAgQJ6U1MVXOaj8PK2l7WJ3RER9xtqwdhxkhw/edit?usp=sharing"",""จันทบุรี!I425"")"),0)</f>
        <v>0</v>
      </c>
      <c r="J530" s="198">
        <f ca="1">IFERROR(__xludf.DUMMYFUNCTION("IMPORTRANGE(""https://docs.google.com/spreadsheets/d/1SX6NBoVAgQJ6U1MVXOaj8PK2l7WJ3RER9xtqwdhxkhw/edit?usp=sharing"",""จันทบุรี!J425"")"),0)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IFERROR(__xludf.DUMMYFUNCTION("IMPORTRANGE(""https://docs.google.com/spreadsheets/d/1SX6NBoVAgQJ6U1MVXOaj8PK2l7WJ3RER9xtqwdhxkhw/edit?usp=sharing"",""จันทบุรี!I426"")"),0)</f>
        <v>0</v>
      </c>
      <c r="J531" s="198">
        <f ca="1">IFERROR(__xludf.DUMMYFUNCTION("IMPORTRANGE(""https://docs.google.com/spreadsheets/d/1SX6NBoVAgQJ6U1MVXOaj8PK2l7WJ3RER9xtqwdhxkhw/edit?usp=sharing"",""จันทบุรี!J426"")"),0)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IFERROR(__xludf.DUMMYFUNCTION("IMPORTRANGE(""https://docs.google.com/spreadsheets/d/1SX6NBoVAgQJ6U1MVXOaj8PK2l7WJ3RER9xtqwdhxkhw/edit?usp=sharing"",""จันทบุรี!I427"")"),0)</f>
        <v>0</v>
      </c>
      <c r="J532" s="466">
        <f ca="1">IFERROR(__xludf.DUMMYFUNCTION("IMPORTRANGE(""https://docs.google.com/spreadsheets/d/1SX6NBoVAgQJ6U1MVXOaj8PK2l7WJ3RER9xtqwdhxkhw/edit?usp=sharing"",""จันทบุรี!J427"")"),0)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IFERROR(__xludf.DUMMYFUNCTION("IMPORTRANGE(""https://docs.google.com/spreadsheets/d/1SX6NBoVAgQJ6U1MVXOaj8PK2l7WJ3RER9xtqwdhxkhw/edit?usp=sharing"",""จันทบุรี!I428"")"),22)</f>
        <v>22</v>
      </c>
      <c r="J533" s="410">
        <f ca="1">IFERROR(__xludf.DUMMYFUNCTION("IMPORTRANGE(""https://docs.google.com/spreadsheets/d/1SX6NBoVAgQJ6U1MVXOaj8PK2l7WJ3RER9xtqwdhxkhw/edit?usp=sharing"",""จันทบุรี!J428"")"),22)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IFERROR(__xludf.DUMMYFUNCTION("IMPORTRANGE(""https://docs.google.com/spreadsheets/d/1SX6NBoVAgQJ6U1MVXOaj8PK2l7WJ3RER9xtqwdhxkhw/edit?usp=sharing"",""จันทบุรี!L428"")"),34340)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IFERROR(__xludf.DUMMYFUNCTION("IMPORTRANGE(""https://docs.google.com/spreadsheets/d/1SX6NBoVAgQJ6U1MVXOaj8PK2l7WJ3RER9xtqwdhxkhw/edit?usp=sharing"",""จันทบุรี!M428"")"),22816)</f>
        <v>22816</v>
      </c>
      <c r="O533" s="412">
        <f t="shared" ref="O533:O537" ca="1" si="118">+IF(L533&gt;0,N533*100/L533,0)</f>
        <v>66.441467676179386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IFERROR(__xludf.DUMMYFUNCTION("IMPORTRANGE(""https://docs.google.com/spreadsheets/d/1SX6NBoVAgQJ6U1MVXOaj8PK2l7WJ3RER9xtqwdhxkhw/edit?usp=sharing"",""จันทบุรี!L429"")"),0)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IFERROR(__xludf.DUMMYFUNCTION("IMPORTRANGE(""https://docs.google.com/spreadsheets/d/1SX6NBoVAgQJ6U1MVXOaj8PK2l7WJ3RER9xtqwdhxkhw/edit?usp=sharing"",""จันทบุรี!M429"")"),0)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IFERROR(__xludf.DUMMYFUNCTION("IMPORTRANGE(""https://docs.google.com/spreadsheets/d/1SX6NBoVAgQJ6U1MVXOaj8PK2l7WJ3RER9xtqwdhxkhw/edit?usp=sharing"",""จันทบุรี!L430"")"),34340)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IFERROR(__xludf.DUMMYFUNCTION("IMPORTRANGE(""https://docs.google.com/spreadsheets/d/1SX6NBoVAgQJ6U1MVXOaj8PK2l7WJ3RER9xtqwdhxkhw/edit?usp=sharing"",""จันทบุรี!M430"")"),22816)</f>
        <v>22816</v>
      </c>
      <c r="O535" s="169">
        <f t="shared" ca="1" si="118"/>
        <v>66.441467676179386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IFERROR(__xludf.DUMMYFUNCTION("IMPORTRANGE(""https://docs.google.com/spreadsheets/d/1SX6NBoVAgQJ6U1MVXOaj8PK2l7WJ3RER9xtqwdhxkhw/edit?usp=sharing"",""จันทบุรี!L431"")"),0)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IFERROR(__xludf.DUMMYFUNCTION("IMPORTRANGE(""https://docs.google.com/spreadsheets/d/1SX6NBoVAgQJ6U1MVXOaj8PK2l7WJ3RER9xtqwdhxkhw/edit?usp=sharing"",""จันทบุรี!M431"")"),0)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IFERROR(__xludf.DUMMYFUNCTION("IMPORTRANGE(""https://docs.google.com/spreadsheets/d/1SX6NBoVAgQJ6U1MVXOaj8PK2l7WJ3RER9xtqwdhxkhw/edit?usp=sharing"",""จันทบุรี!L432"")"),34340)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IFERROR(__xludf.DUMMYFUNCTION("IMPORTRANGE(""https://docs.google.com/spreadsheets/d/1SX6NBoVAgQJ6U1MVXOaj8PK2l7WJ3RER9xtqwdhxkhw/edit?usp=sharing"",""จันทบุรี!M432"")"),22816)</f>
        <v>22816</v>
      </c>
      <c r="O537" s="169">
        <f t="shared" ca="1" si="118"/>
        <v>66.441467676179386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IFERROR(__xludf.DUMMYFUNCTION("IMPORTRANGE(""https://docs.google.com/spreadsheets/d/1SX6NBoVAgQJ6U1MVXOaj8PK2l7WJ3RER9xtqwdhxkhw/edit?usp=sharing"",""จันทบุรี!M433"")"),14440)</f>
        <v>14440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IFERROR(__xludf.DUMMYFUNCTION("IMPORTRANGE(""https://docs.google.com/spreadsheets/d/1SX6NBoVAgQJ6U1MVXOaj8PK2l7WJ3RER9xtqwdhxkhw/edit?usp=sharing"",""จันทบุรี!M434"")"),0)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IFERROR(__xludf.DUMMYFUNCTION("IMPORTRANGE(""https://docs.google.com/spreadsheets/d/1SX6NBoVAgQJ6U1MVXOaj8PK2l7WJ3RER9xtqwdhxkhw/edit?usp=sharing"",""จันทบุรี!M435"")"),0)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IFERROR(__xludf.DUMMYFUNCTION("IMPORTRANGE(""https://docs.google.com/spreadsheets/d/1SX6NBoVAgQJ6U1MVXOaj8PK2l7WJ3RER9xtqwdhxkhw/edit?usp=sharing"",""จันทบุรี!M436"")"),8376)</f>
        <v>8376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IFERROR(__xludf.DUMMYFUNCTION("IMPORTRANGE(""https://docs.google.com/spreadsheets/d/1SX6NBoVAgQJ6U1MVXOaj8PK2l7WJ3RER9xtqwdhxkhw/edit?usp=sharing"",""จันทบุรี!J438"")"),0)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IFERROR(__xludf.DUMMYFUNCTION("IMPORTRANGE(""https://docs.google.com/spreadsheets/d/1SX6NBoVAgQJ6U1MVXOaj8PK2l7WJ3RER9xtqwdhxkhw/edit?usp=sharing"",""จันทบุรี!J439"")"),1)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IFERROR(__xludf.DUMMYFUNCTION("IMPORTRANGE(""https://docs.google.com/spreadsheets/d/1SX6NBoVAgQJ6U1MVXOaj8PK2l7WJ3RER9xtqwdhxkhw/edit?usp=sharing"",""จันทบุรี!J440"")"),1)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IFERROR(__xludf.DUMMYFUNCTION("IMPORTRANGE(""https://docs.google.com/spreadsheets/d/1SX6NBoVAgQJ6U1MVXOaj8PK2l7WJ3RER9xtqwdhxkhw/edit?usp=sharing"",""จันทบุรี!J441"")"),1)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IFERROR(__xludf.DUMMYFUNCTION("IMPORTRANGE(""https://docs.google.com/spreadsheets/d/1SX6NBoVAgQJ6U1MVXOaj8PK2l7WJ3RER9xtqwdhxkhw/edit?usp=sharing"",""จันทบุรี!I442"")"),22)</f>
        <v>22</v>
      </c>
      <c r="J547" s="189">
        <f ca="1">IFERROR(__xludf.DUMMYFUNCTION("IMPORTRANGE(""https://docs.google.com/spreadsheets/d/1SX6NBoVAgQJ6U1MVXOaj8PK2l7WJ3RER9xtqwdhxkhw/edit?usp=sharing"",""จันทบุรี!J442"")"),22)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IFERROR(__xludf.DUMMYFUNCTION("IMPORTRANGE(""https://docs.google.com/spreadsheets/d/1SX6NBoVAgQJ6U1MVXOaj8PK2l7WJ3RER9xtqwdhxkhw/edit?usp=sharing"",""จันทบุรี!J166"")"),0)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IFERROR(__xludf.DUMMYFUNCTION("IMPORTRANGE(""https://docs.google.com/spreadsheets/d/1SX6NBoVAgQJ6U1MVXOaj8PK2l7WJ3RER9xtqwdhxkhw/edit?usp=sharing"",""จันทบุรี!J444"")"),0)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IFERROR(__xludf.DUMMYFUNCTION("IMPORTRANGE(""https://docs.google.com/spreadsheets/d/1SX6NBoVAgQJ6U1MVXOaj8PK2l7WJ3RER9xtqwdhxkhw/edit?usp=sharing"",""จันทบุรี!J445"")"),0)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IFERROR(__xludf.DUMMYFUNCTION("IMPORTRANGE(""https://docs.google.com/spreadsheets/d/1SX6NBoVAgQJ6U1MVXOaj8PK2l7WJ3RER9xtqwdhxkhw/edit?usp=sharing"",""จันทบุรี!I446"")"),0)</f>
        <v>0</v>
      </c>
      <c r="J551" s="410">
        <f ca="1">IFERROR(__xludf.DUMMYFUNCTION("IMPORTRANGE(""https://docs.google.com/spreadsheets/d/1SX6NBoVAgQJ6U1MVXOaj8PK2l7WJ3RER9xtqwdhxkhw/edit?usp=sharing"",""จันทบุรี!J446"")"),0)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IFERROR(__xludf.DUMMYFUNCTION("IMPORTRANGE(""https://docs.google.com/spreadsheets/d/1SX6NBoVAgQJ6U1MVXOaj8PK2l7WJ3RER9xtqwdhxkhw/edit?usp=sharing"",""จันทบุรี!L446"")"),0)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IFERROR(__xludf.DUMMYFUNCTION("IMPORTRANGE(""https://docs.google.com/spreadsheets/d/1SX6NBoVAgQJ6U1MVXOaj8PK2l7WJ3RER9xtqwdhxkhw/edit?usp=sharing"",""จันทบุรี!M446"")"),0)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IFERROR(__xludf.DUMMYFUNCTION("IMPORTRANGE(""https://docs.google.com/spreadsheets/d/1SX6NBoVAgQJ6U1MVXOaj8PK2l7WJ3RER9xtqwdhxkhw/edit?usp=sharing"",""จันทบุรี!L447"")"),0)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IFERROR(__xludf.DUMMYFUNCTION("IMPORTRANGE(""https://docs.google.com/spreadsheets/d/1SX6NBoVAgQJ6U1MVXOaj8PK2l7WJ3RER9xtqwdhxkhw/edit?usp=sharing"",""จันทบุรี!M447"")"),0)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IFERROR(__xludf.DUMMYFUNCTION("IMPORTRANGE(""https://docs.google.com/spreadsheets/d/1SX6NBoVAgQJ6U1MVXOaj8PK2l7WJ3RER9xtqwdhxkhw/edit?usp=sharing"",""จันทบุรี!L448"")"),0)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IFERROR(__xludf.DUMMYFUNCTION("IMPORTRANGE(""https://docs.google.com/spreadsheets/d/1SX6NBoVAgQJ6U1MVXOaj8PK2l7WJ3RER9xtqwdhxkhw/edit?usp=sharing"",""จันทบุรี!M448"")"),0)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IFERROR(__xludf.DUMMYFUNCTION("IMPORTRANGE(""https://docs.google.com/spreadsheets/d/1SX6NBoVAgQJ6U1MVXOaj8PK2l7WJ3RER9xtqwdhxkhw/edit?usp=sharing"",""จันทบุรี!L449"")"),0)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IFERROR(__xludf.DUMMYFUNCTION("IMPORTRANGE(""https://docs.google.com/spreadsheets/d/1SX6NBoVAgQJ6U1MVXOaj8PK2l7WJ3RER9xtqwdhxkhw/edit?usp=sharing"",""จันทบุรี!M449"")"),0)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IFERROR(__xludf.DUMMYFUNCTION("IMPORTRANGE(""https://docs.google.com/spreadsheets/d/1SX6NBoVAgQJ6U1MVXOaj8PK2l7WJ3RER9xtqwdhxkhw/edit?usp=sharing"",""จันทบุรี!L450"")"),0)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IFERROR(__xludf.DUMMYFUNCTION("IMPORTRANGE(""https://docs.google.com/spreadsheets/d/1SX6NBoVAgQJ6U1MVXOaj8PK2l7WJ3RER9xtqwdhxkhw/edit?usp=sharing"",""จันทบุรี!M450"")"),0)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IFERROR(__xludf.DUMMYFUNCTION("IMPORTRANGE(""https://docs.google.com/spreadsheets/d/1SX6NBoVAgQJ6U1MVXOaj8PK2l7WJ3RER9xtqwdhxkhw/edit?usp=sharing"",""จันทบุรี!M451"")"),0)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IFERROR(__xludf.DUMMYFUNCTION("IMPORTRANGE(""https://docs.google.com/spreadsheets/d/1SX6NBoVAgQJ6U1MVXOaj8PK2l7WJ3RER9xtqwdhxkhw/edit?usp=sharing"",""จันทบุรี!M452"")"),0)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IFERROR(__xludf.DUMMYFUNCTION("IMPORTRANGE(""https://docs.google.com/spreadsheets/d/1SX6NBoVAgQJ6U1MVXOaj8PK2l7WJ3RER9xtqwdhxkhw/edit?usp=sharing"",""จันทบุรี!M453"")"),0)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IFERROR(__xludf.DUMMYFUNCTION("IMPORTRANGE(""https://docs.google.com/spreadsheets/d/1SX6NBoVAgQJ6U1MVXOaj8PK2l7WJ3RER9xtqwdhxkhw/edit?usp=sharing"",""จันทบุรี!M454"")"),0)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IFERROR(__xludf.DUMMYFUNCTION("IMPORTRANGE(""https://docs.google.com/spreadsheets/d/1SX6NBoVAgQJ6U1MVXOaj8PK2l7WJ3RER9xtqwdhxkhw/edit?usp=sharing"",""จันทบุรี!I455"")"),0)</f>
        <v>0</v>
      </c>
      <c r="J560" s="162">
        <f ca="1">IFERROR(__xludf.DUMMYFUNCTION("IMPORTRANGE(""https://docs.google.com/spreadsheets/d/1SX6NBoVAgQJ6U1MVXOaj8PK2l7WJ3RER9xtqwdhxkhw/edit?usp=sharing"",""จันทบุรี!J455"")"),0)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IFERROR(__xludf.DUMMYFUNCTION("IMPORTRANGE(""https://docs.google.com/spreadsheets/d/1SX6NBoVAgQJ6U1MVXOaj8PK2l7WJ3RER9xtqwdhxkhw/edit?usp=sharing"",""จันทบุรี!I456"")"),0)</f>
        <v>0</v>
      </c>
      <c r="J561" s="204">
        <f ca="1">IFERROR(__xludf.DUMMYFUNCTION("IMPORTRANGE(""https://docs.google.com/spreadsheets/d/1SX6NBoVAgQJ6U1MVXOaj8PK2l7WJ3RER9xtqwdhxkhw/edit?usp=sharing"",""จันทบุรี!J456"")"),0)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IFERROR(__xludf.DUMMYFUNCTION("IMPORTRANGE(""https://docs.google.com/spreadsheets/d/1SX6NBoVAgQJ6U1MVXOaj8PK2l7WJ3RER9xtqwdhxkhw/edit?usp=sharing"",""จันทบุรี!I459"")"),700)</f>
        <v>700</v>
      </c>
      <c r="J564" s="371">
        <f ca="1">IFERROR(__xludf.DUMMYFUNCTION("IMPORTRANGE(""https://docs.google.com/spreadsheets/d/1SX6NBoVAgQJ6U1MVXOaj8PK2l7WJ3RER9xtqwdhxkhw/edit?usp=sharing"",""จันทบุรี!J459"")"),1211)</f>
        <v>1211</v>
      </c>
      <c r="K564" s="372">
        <f ca="1">IF(I564&gt;0,J564*100/I564,0)</f>
        <v>173</v>
      </c>
      <c r="L564" s="373">
        <f ca="1">IFERROR(__xludf.DUMMYFUNCTION("IMPORTRANGE(""https://docs.google.com/spreadsheets/d/1SX6NBoVAgQJ6U1MVXOaj8PK2l7WJ3RER9xtqwdhxkhw/edit?usp=sharing"",""จันทบุรี!L459"")"),126080)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IFERROR(__xludf.DUMMYFUNCTION("IMPORTRANGE(""https://docs.google.com/spreadsheets/d/1SX6NBoVAgQJ6U1MVXOaj8PK2l7WJ3RER9xtqwdhxkhw/edit?usp=sharing"",""จันทบุรี!M459"")"),35213)</f>
        <v>35213</v>
      </c>
      <c r="O564" s="373">
        <f t="shared" ref="O564:O568" ca="1" si="122">+IF(L564&gt;0,N564*100/L564,0)</f>
        <v>27.929092639593907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IFERROR(__xludf.DUMMYFUNCTION("IMPORTRANGE(""https://docs.google.com/spreadsheets/d/1SX6NBoVAgQJ6U1MVXOaj8PK2l7WJ3RER9xtqwdhxkhw/edit?usp=sharing"",""จันทบุรี!L460"")"),0)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IFERROR(__xludf.DUMMYFUNCTION("IMPORTRANGE(""https://docs.google.com/spreadsheets/d/1SX6NBoVAgQJ6U1MVXOaj8PK2l7WJ3RER9xtqwdhxkhw/edit?usp=sharing"",""จันทบุรี!M460"")"),0)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IFERROR(__xludf.DUMMYFUNCTION("IMPORTRANGE(""https://docs.google.com/spreadsheets/d/1SX6NBoVAgQJ6U1MVXOaj8PK2l7WJ3RER9xtqwdhxkhw/edit?usp=sharing"",""จันทบุรี!L461"")"),126080)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IFERROR(__xludf.DUMMYFUNCTION("IMPORTRANGE(""https://docs.google.com/spreadsheets/d/1SX6NBoVAgQJ6U1MVXOaj8PK2l7WJ3RER9xtqwdhxkhw/edit?usp=sharing"",""จันทบุรี!M461"")"),35213)</f>
        <v>35213</v>
      </c>
      <c r="O566" s="169">
        <f t="shared" ca="1" si="122"/>
        <v>27.929092639593907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IFERROR(__xludf.DUMMYFUNCTION("IMPORTRANGE(""https://docs.google.com/spreadsheets/d/1SX6NBoVAgQJ6U1MVXOaj8PK2l7WJ3RER9xtqwdhxkhw/edit?usp=sharing"",""จันทบุรี!L462"")"),0)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IFERROR(__xludf.DUMMYFUNCTION("IMPORTRANGE(""https://docs.google.com/spreadsheets/d/1SX6NBoVAgQJ6U1MVXOaj8PK2l7WJ3RER9xtqwdhxkhw/edit?usp=sharing"",""จันทบุรี!M462"")"),0)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IFERROR(__xludf.DUMMYFUNCTION("IMPORTRANGE(""https://docs.google.com/spreadsheets/d/1SX6NBoVAgQJ6U1MVXOaj8PK2l7WJ3RER9xtqwdhxkhw/edit?usp=sharing"",""จันทบุรี!L463"")"),126080)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IFERROR(__xludf.DUMMYFUNCTION("IMPORTRANGE(""https://docs.google.com/spreadsheets/d/1SX6NBoVAgQJ6U1MVXOaj8PK2l7WJ3RER9xtqwdhxkhw/edit?usp=sharing"",""จันทบุรี!M463"")"),35213)</f>
        <v>35213</v>
      </c>
      <c r="O568" s="169">
        <f t="shared" ca="1" si="122"/>
        <v>27.929092639593907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IFERROR(__xludf.DUMMYFUNCTION("IMPORTRANGE(""https://docs.google.com/spreadsheets/d/1SX6NBoVAgQJ6U1MVXOaj8PK2l7WJ3RER9xtqwdhxkhw/edit?usp=sharing"",""จันทบุรี!M464"")"),0)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IFERROR(__xludf.DUMMYFUNCTION("IMPORTRANGE(""https://docs.google.com/spreadsheets/d/1SX6NBoVAgQJ6U1MVXOaj8PK2l7WJ3RER9xtqwdhxkhw/edit?usp=sharing"",""จันทบุรี!M465"")"),0)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IFERROR(__xludf.DUMMYFUNCTION("IMPORTRANGE(""https://docs.google.com/spreadsheets/d/1SX6NBoVAgQJ6U1MVXOaj8PK2l7WJ3RER9xtqwdhxkhw/edit?usp=sharing"",""จันทบุรี!M466"")"),21633)</f>
        <v>21633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IFERROR(__xludf.DUMMYFUNCTION("IMPORTRANGE(""https://docs.google.com/spreadsheets/d/1SX6NBoVAgQJ6U1MVXOaj8PK2l7WJ3RER9xtqwdhxkhw/edit?usp=sharing"",""จันทบุรี!M467"")"),13580)</f>
        <v>13580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IFERROR(__xludf.DUMMYFUNCTION("IMPORTRANGE(""https://docs.google.com/spreadsheets/d/1SX6NBoVAgQJ6U1MVXOaj8PK2l7WJ3RER9xtqwdhxkhw/edit?usp=sharing"",""จันทบุรี!I468"")"),700)</f>
        <v>700</v>
      </c>
      <c r="J573" s="420">
        <f ca="1">IFERROR(__xludf.DUMMYFUNCTION("IMPORTRANGE(""https://docs.google.com/spreadsheets/d/1SX6NBoVAgQJ6U1MVXOaj8PK2l7WJ3RER9xtqwdhxkhw/edit?usp=sharing"",""จันทบุรี!J468"")"),1211)</f>
        <v>1211</v>
      </c>
      <c r="K573" s="202">
        <f ca="1">IF(I573&gt;0,J573*100/I573,0)</f>
        <v>173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IFERROR(__xludf.DUMMYFUNCTION("IMPORTRANGE(""https://docs.google.com/spreadsheets/d/1SX6NBoVAgQJ6U1MVXOaj8PK2l7WJ3RER9xtqwdhxkhw/edit?usp=sharing"",""จันทบุรี!I470"")"),0)</f>
        <v>0</v>
      </c>
      <c r="J575" s="198">
        <f ca="1">IFERROR(__xludf.DUMMYFUNCTION("IMPORTRANGE(""https://docs.google.com/spreadsheets/d/1SX6NBoVAgQJ6U1MVXOaj8PK2l7WJ3RER9xtqwdhxkhw/edit?usp=sharing"",""จันทบุรี!J470"")"),5)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IFERROR(__xludf.DUMMYFUNCTION("IMPORTRANGE(""https://docs.google.com/spreadsheets/d/1SX6NBoVAgQJ6U1MVXOaj8PK2l7WJ3RER9xtqwdhxkhw/edit?usp=sharing"",""จันทบุรี!I471"")"),0)</f>
        <v>0</v>
      </c>
      <c r="J576" s="198">
        <f ca="1">IFERROR(__xludf.DUMMYFUNCTION("IMPORTRANGE(""https://docs.google.com/spreadsheets/d/1SX6NBoVAgQJ6U1MVXOaj8PK2l7WJ3RER9xtqwdhxkhw/edit?usp=sharing"",""จันทบุรี!J471"")"),123)</f>
        <v>123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IFERROR(__xludf.DUMMYFUNCTION("IMPORTRANGE(""https://docs.google.com/spreadsheets/d/1SX6NBoVAgQJ6U1MVXOaj8PK2l7WJ3RER9xtqwdhxkhw/edit?usp=sharing"",""จันทบุรี!I472"")"),0)</f>
        <v>0</v>
      </c>
      <c r="J577" s="189">
        <f ca="1">IFERROR(__xludf.DUMMYFUNCTION("IMPORTRANGE(""https://docs.google.com/spreadsheets/d/1SX6NBoVAgQJ6U1MVXOaj8PK2l7WJ3RER9xtqwdhxkhw/edit?usp=sharing"",""จันทบุรี!J472"")"),1077)</f>
        <v>1077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IFERROR(__xludf.DUMMYFUNCTION("IMPORTRANGE(""https://docs.google.com/spreadsheets/d/1SX6NBoVAgQJ6U1MVXOaj8PK2l7WJ3RER9xtqwdhxkhw/edit?usp=sharing"",""จันทบุรี!I473"")"),0)</f>
        <v>0</v>
      </c>
      <c r="J578" s="198">
        <f ca="1">IFERROR(__xludf.DUMMYFUNCTION("IMPORTRANGE(""https://docs.google.com/spreadsheets/d/1SX6NBoVAgQJ6U1MVXOaj8PK2l7WJ3RER9xtqwdhxkhw/edit?usp=sharing"",""จันทบุรี!J473"")"),3)</f>
        <v>3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IFERROR(__xludf.DUMMYFUNCTION("IMPORTRANGE(""https://docs.google.com/spreadsheets/d/1SX6NBoVAgQJ6U1MVXOaj8PK2l7WJ3RER9xtqwdhxkhw/edit?usp=sharing"",""จันทบุรี!I474"")"),0)</f>
        <v>0</v>
      </c>
      <c r="J579" s="198">
        <f ca="1">IFERROR(__xludf.DUMMYFUNCTION("IMPORTRANGE(""https://docs.google.com/spreadsheets/d/1SX6NBoVAgQJ6U1MVXOaj8PK2l7WJ3RER9xtqwdhxkhw/edit?usp=sharing"",""จันทบุรี!J474"")"),8)</f>
        <v>8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IFERROR(__xludf.DUMMYFUNCTION("IMPORTRANGE(""https://docs.google.com/spreadsheets/d/1SX6NBoVAgQJ6U1MVXOaj8PK2l7WJ3RER9xtqwdhxkhw/edit?usp=sharing"",""จันทบุรี!I475"")"),0)</f>
        <v>0</v>
      </c>
      <c r="J580" s="371">
        <f ca="1">IFERROR(__xludf.DUMMYFUNCTION("IMPORTRANGE(""https://docs.google.com/spreadsheets/d/1SX6NBoVAgQJ6U1MVXOaj8PK2l7WJ3RER9xtqwdhxkhw/edit?usp=sharing"",""จันทบุรี!J475"")"),0)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IFERROR(__xludf.DUMMYFUNCTION("IMPORTRANGE(""https://docs.google.com/spreadsheets/d/1SX6NBoVAgQJ6U1MVXOaj8PK2l7WJ3RER9xtqwdhxkhw/edit?usp=sharing"",""จันทบุรี!L475"")"),0)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IFERROR(__xludf.DUMMYFUNCTION("IMPORTRANGE(""https://docs.google.com/spreadsheets/d/1SX6NBoVAgQJ6U1MVXOaj8PK2l7WJ3RER9xtqwdhxkhw/edit?usp=sharing"",""จันทบุรี!M475"")"),0)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IFERROR(__xludf.DUMMYFUNCTION("IMPORTRANGE(""https://docs.google.com/spreadsheets/d/1SX6NBoVAgQJ6U1MVXOaj8PK2l7WJ3RER9xtqwdhxkhw/edit?usp=sharing"",""จันทบุรี!L476"")"),0)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IFERROR(__xludf.DUMMYFUNCTION("IMPORTRANGE(""https://docs.google.com/spreadsheets/d/1SX6NBoVAgQJ6U1MVXOaj8PK2l7WJ3RER9xtqwdhxkhw/edit?usp=sharing"",""จันทบุรี!M476"")"),0)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IFERROR(__xludf.DUMMYFUNCTION("IMPORTRANGE(""https://docs.google.com/spreadsheets/d/1SX6NBoVAgQJ6U1MVXOaj8PK2l7WJ3RER9xtqwdhxkhw/edit?usp=sharing"",""จันทบุรี!L477"")"),0)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IFERROR(__xludf.DUMMYFUNCTION("IMPORTRANGE(""https://docs.google.com/spreadsheets/d/1SX6NBoVAgQJ6U1MVXOaj8PK2l7WJ3RER9xtqwdhxkhw/edit?usp=sharing"",""จันทบุรี!M477"")"),0)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IFERROR(__xludf.DUMMYFUNCTION("IMPORTRANGE(""https://docs.google.com/spreadsheets/d/1SX6NBoVAgQJ6U1MVXOaj8PK2l7WJ3RER9xtqwdhxkhw/edit?usp=sharing"",""จันทบุรี!L478"")"),0)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IFERROR(__xludf.DUMMYFUNCTION("IMPORTRANGE(""https://docs.google.com/spreadsheets/d/1SX6NBoVAgQJ6U1MVXOaj8PK2l7WJ3RER9xtqwdhxkhw/edit?usp=sharing"",""จันทบุรี!M478"")"),0)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IFERROR(__xludf.DUMMYFUNCTION("IMPORTRANGE(""https://docs.google.com/spreadsheets/d/1SX6NBoVAgQJ6U1MVXOaj8PK2l7WJ3RER9xtqwdhxkhw/edit?usp=sharing"",""จันทบุรี!L479"")"),0)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IFERROR(__xludf.DUMMYFUNCTION("IMPORTRANGE(""https://docs.google.com/spreadsheets/d/1SX6NBoVAgQJ6U1MVXOaj8PK2l7WJ3RER9xtqwdhxkhw/edit?usp=sharing"",""จันทบุรี!M479"")"),0)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IFERROR(__xludf.DUMMYFUNCTION("IMPORTRANGE(""https://docs.google.com/spreadsheets/d/1SX6NBoVAgQJ6U1MVXOaj8PK2l7WJ3RER9xtqwdhxkhw/edit?usp=sharing"",""จันทบุรี!M480"")"),0)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IFERROR(__xludf.DUMMYFUNCTION("IMPORTRANGE(""https://docs.google.com/spreadsheets/d/1SX6NBoVAgQJ6U1MVXOaj8PK2l7WJ3RER9xtqwdhxkhw/edit?usp=sharing"",""จันทบุรี!M481"")"),0)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IFERROR(__xludf.DUMMYFUNCTION("IMPORTRANGE(""https://docs.google.com/spreadsheets/d/1SX6NBoVAgQJ6U1MVXOaj8PK2l7WJ3RER9xtqwdhxkhw/edit?usp=sharing"",""จันทบุรี!M482"")"),0)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IFERROR(__xludf.DUMMYFUNCTION("IMPORTRANGE(""https://docs.google.com/spreadsheets/d/1SX6NBoVAgQJ6U1MVXOaj8PK2l7WJ3RER9xtqwdhxkhw/edit?usp=sharing"",""จันทบุรี!M483"")"),0)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IFERROR(__xludf.DUMMYFUNCTION("IMPORTRANGE(""https://docs.google.com/spreadsheets/d/1SX6NBoVAgQJ6U1MVXOaj8PK2l7WJ3RER9xtqwdhxkhw/edit?usp=sharing"",""จันทบุรี!I484"")"),0)</f>
        <v>0</v>
      </c>
      <c r="J589" s="188">
        <f ca="1">IFERROR(__xludf.DUMMYFUNCTION("IMPORTRANGE(""https://docs.google.com/spreadsheets/d/1SX6NBoVAgQJ6U1MVXOaj8PK2l7WJ3RER9xtqwdhxkhw/edit?usp=sharing"",""จันทบุรี!J484"")"),0)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IFERROR(__xludf.DUMMYFUNCTION("IMPORTRANGE(""https://docs.google.com/spreadsheets/d/1SX6NBoVAgQJ6U1MVXOaj8PK2l7WJ3RER9xtqwdhxkhw/edit?usp=sharing"",""จันทบุรี!I485"")"),0)</f>
        <v>0</v>
      </c>
      <c r="J590" s="188">
        <f ca="1">IFERROR(__xludf.DUMMYFUNCTION("IMPORTRANGE(""https://docs.google.com/spreadsheets/d/1SX6NBoVAgQJ6U1MVXOaj8PK2l7WJ3RER9xtqwdhxkhw/edit?usp=sharing"",""จันทบุรี!J485"")"),0)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IFERROR(__xludf.DUMMYFUNCTION("IMPORTRANGE(""https://docs.google.com/spreadsheets/d/1SX6NBoVAgQJ6U1MVXOaj8PK2l7WJ3RER9xtqwdhxkhw/edit?usp=sharing"",""จันทบุรี!I486"")"),0)</f>
        <v>0</v>
      </c>
      <c r="J591" s="188">
        <f ca="1">IFERROR(__xludf.DUMMYFUNCTION("IMPORTRANGE(""https://docs.google.com/spreadsheets/d/1SX6NBoVAgQJ6U1MVXOaj8PK2l7WJ3RER9xtqwdhxkhw/edit?usp=sharing"",""จันทบุรี!J486"")"),0)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IFERROR(__xludf.DUMMYFUNCTION("IMPORTRANGE(""https://docs.google.com/spreadsheets/d/1SX6NBoVAgQJ6U1MVXOaj8PK2l7WJ3RER9xtqwdhxkhw/edit?usp=sharing"",""จันทบุรี!I487"")"),0)</f>
        <v>0</v>
      </c>
      <c r="J592" s="188">
        <f ca="1">IFERROR(__xludf.DUMMYFUNCTION("IMPORTRANGE(""https://docs.google.com/spreadsheets/d/1SX6NBoVAgQJ6U1MVXOaj8PK2l7WJ3RER9xtqwdhxkhw/edit?usp=sharing"",""จันทบุรี!J487"")"),0)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IFERROR(__xludf.DUMMYFUNCTION("IMPORTRANGE(""https://docs.google.com/spreadsheets/d/1SX6NBoVAgQJ6U1MVXOaj8PK2l7WJ3RER9xtqwdhxkhw/edit?usp=sharing"",""จันทบุรี!I488"")"),0)</f>
        <v>0</v>
      </c>
      <c r="J593" s="188">
        <f ca="1">IFERROR(__xludf.DUMMYFUNCTION("IMPORTRANGE(""https://docs.google.com/spreadsheets/d/1SX6NBoVAgQJ6U1MVXOaj8PK2l7WJ3RER9xtqwdhxkhw/edit?usp=sharing"",""จันทบุรี!J488"")"),0)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IFERROR(__xludf.DUMMYFUNCTION("IMPORTRANGE(""https://docs.google.com/spreadsheets/d/1SX6NBoVAgQJ6U1MVXOaj8PK2l7WJ3RER9xtqwdhxkhw/edit?usp=sharing"",""จันทบุรี!I489"")"),0)</f>
        <v>0</v>
      </c>
      <c r="J594" s="188">
        <f ca="1">IFERROR(__xludf.DUMMYFUNCTION("IMPORTRANGE(""https://docs.google.com/spreadsheets/d/1SX6NBoVAgQJ6U1MVXOaj8PK2l7WJ3RER9xtqwdhxkhw/edit?usp=sharing"",""จันทบุรี!J489"")"),0)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IFERROR(__xludf.DUMMYFUNCTION("IMPORTRANGE(""https://docs.google.com/spreadsheets/d/1SX6NBoVAgQJ6U1MVXOaj8PK2l7WJ3RER9xtqwdhxkhw/edit?usp=sharing"",""จันทบุรี!I490"")"),0)</f>
        <v>0</v>
      </c>
      <c r="J595" s="188">
        <f ca="1">IFERROR(__xludf.DUMMYFUNCTION("IMPORTRANGE(""https://docs.google.com/spreadsheets/d/1SX6NBoVAgQJ6U1MVXOaj8PK2l7WJ3RER9xtqwdhxkhw/edit?usp=sharing"",""จันทบุรี!J490"")"),0)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IFERROR(__xludf.DUMMYFUNCTION("IMPORTRANGE(""https://docs.google.com/spreadsheets/d/1SX6NBoVAgQJ6U1MVXOaj8PK2l7WJ3RER9xtqwdhxkhw/edit?usp=sharing"",""จันทบุรี!I491"")"),0)</f>
        <v>0</v>
      </c>
      <c r="J596" s="241">
        <f ca="1">IFERROR(__xludf.DUMMYFUNCTION("IMPORTRANGE(""https://docs.google.com/spreadsheets/d/1SX6NBoVAgQJ6U1MVXOaj8PK2l7WJ3RER9xtqwdhxkhw/edit?usp=sharing"",""จันทบุรี!J491"")"),0)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IFERROR(__xludf.DUMMYFUNCTION("IMPORTRANGE(""https://docs.google.com/spreadsheets/d/1SX6NBoVAgQJ6U1MVXOaj8PK2l7WJ3RER9xtqwdhxkhw/edit?usp=sharing"",""จันทบุรี!I492"")"),50)</f>
        <v>50</v>
      </c>
      <c r="J597" s="487">
        <f ca="1">IFERROR(__xludf.DUMMYFUNCTION("IMPORTRANGE(""https://docs.google.com/spreadsheets/d/1SX6NBoVAgQJ6U1MVXOaj8PK2l7WJ3RER9xtqwdhxkhw/edit?usp=sharing"",""จันทบุรี!J492"")"),0)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IFERROR(__xludf.DUMMYFUNCTION("IMPORTRANGE(""https://docs.google.com/spreadsheets/d/1SX6NBoVAgQJ6U1MVXOaj8PK2l7WJ3RER9xtqwdhxkhw/edit?usp=sharing"",""จันทบุรี!L492"")"),4550)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IFERROR(__xludf.DUMMYFUNCTION("IMPORTRANGE(""https://docs.google.com/spreadsheets/d/1SX6NBoVAgQJ6U1MVXOaj8PK2l7WJ3RER9xtqwdhxkhw/edit?usp=sharing"",""จันทบุรี!M492"")"),650)</f>
        <v>650</v>
      </c>
      <c r="O597" s="412">
        <f t="shared" ref="O597:O601" ca="1" si="126">+IF(L597&gt;0,N597*100/L597,0)</f>
        <v>14.285714285714286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IFERROR(__xludf.DUMMYFUNCTION("IMPORTRANGE(""https://docs.google.com/spreadsheets/d/1SX6NBoVAgQJ6U1MVXOaj8PK2l7WJ3RER9xtqwdhxkhw/edit?usp=sharing"",""จันทบุรี!L493"")"),0)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IFERROR(__xludf.DUMMYFUNCTION("IMPORTRANGE(""https://docs.google.com/spreadsheets/d/1SX6NBoVAgQJ6U1MVXOaj8PK2l7WJ3RER9xtqwdhxkhw/edit?usp=sharing"",""จันทบุรี!M493"")"),0)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IFERROR(__xludf.DUMMYFUNCTION("IMPORTRANGE(""https://docs.google.com/spreadsheets/d/1SX6NBoVAgQJ6U1MVXOaj8PK2l7WJ3RER9xtqwdhxkhw/edit?usp=sharing"",""จันทบุรี!L494"")"),4550)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IFERROR(__xludf.DUMMYFUNCTION("IMPORTRANGE(""https://docs.google.com/spreadsheets/d/1SX6NBoVAgQJ6U1MVXOaj8PK2l7WJ3RER9xtqwdhxkhw/edit?usp=sharing"",""จันทบุรี!M494"")"),650)</f>
        <v>650</v>
      </c>
      <c r="O599" s="169">
        <f t="shared" ca="1" si="126"/>
        <v>14.285714285714286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IFERROR(__xludf.DUMMYFUNCTION("IMPORTRANGE(""https://docs.google.com/spreadsheets/d/1SX6NBoVAgQJ6U1MVXOaj8PK2l7WJ3RER9xtqwdhxkhw/edit?usp=sharing"",""จันทบุรี!L495"")"),0)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IFERROR(__xludf.DUMMYFUNCTION("IMPORTRANGE(""https://docs.google.com/spreadsheets/d/1SX6NBoVAgQJ6U1MVXOaj8PK2l7WJ3RER9xtqwdhxkhw/edit?usp=sharing"",""จันทบุรี!M495"")"),0)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IFERROR(__xludf.DUMMYFUNCTION("IMPORTRANGE(""https://docs.google.com/spreadsheets/d/1SX6NBoVAgQJ6U1MVXOaj8PK2l7WJ3RER9xtqwdhxkhw/edit?usp=sharing"",""จันทบุรี!L496"")"),4550)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IFERROR(__xludf.DUMMYFUNCTION("IMPORTRANGE(""https://docs.google.com/spreadsheets/d/1SX6NBoVAgQJ6U1MVXOaj8PK2l7WJ3RER9xtqwdhxkhw/edit?usp=sharing"",""จันทบุรี!M496"")"),650)</f>
        <v>650</v>
      </c>
      <c r="O601" s="169">
        <f t="shared" ca="1" si="126"/>
        <v>14.285714285714286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IFERROR(__xludf.DUMMYFUNCTION("IMPORTRANGE(""https://docs.google.com/spreadsheets/d/1SX6NBoVAgQJ6U1MVXOaj8PK2l7WJ3RER9xtqwdhxkhw/edit?usp=sharing"",""จันทบุรี!M497"")"),0)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IFERROR(__xludf.DUMMYFUNCTION("IMPORTRANGE(""https://docs.google.com/spreadsheets/d/1SX6NBoVAgQJ6U1MVXOaj8PK2l7WJ3RER9xtqwdhxkhw/edit?usp=sharing"",""จันทบุรี!M498"")"),0)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IFERROR(__xludf.DUMMYFUNCTION("IMPORTRANGE(""https://docs.google.com/spreadsheets/d/1SX6NBoVAgQJ6U1MVXOaj8PK2l7WJ3RER9xtqwdhxkhw/edit?usp=sharing"",""จันทบุรี!M499"")"),0)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IFERROR(__xludf.DUMMYFUNCTION("IMPORTRANGE(""https://docs.google.com/spreadsheets/d/1SX6NBoVAgQJ6U1MVXOaj8PK2l7WJ3RER9xtqwdhxkhw/edit?usp=sharing"",""จันทบุรี!M500"")"),650)</f>
        <v>650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IFERROR(__xludf.DUMMYFUNCTION("IMPORTRANGE(""https://docs.google.com/spreadsheets/d/1SX6NBoVAgQJ6U1MVXOaj8PK2l7WJ3RER9xtqwdhxkhw/edit?usp=sharing"",""จันทบุรี!J502"")"),0)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IFERROR(__xludf.DUMMYFUNCTION("IMPORTRANGE(""https://docs.google.com/spreadsheets/d/1SX6NBoVAgQJ6U1MVXOaj8PK2l7WJ3RER9xtqwdhxkhw/edit?usp=sharing"",""จันทบุรี!J503"")"),1)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IFERROR(__xludf.DUMMYFUNCTION("IMPORTRANGE(""https://docs.google.com/spreadsheets/d/1SX6NBoVAgQJ6U1MVXOaj8PK2l7WJ3RER9xtqwdhxkhw/edit?usp=sharing"",""จันทบุรี!J166"")"),0)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IFERROR(__xludf.DUMMYFUNCTION("IMPORTRANGE(""https://docs.google.com/spreadsheets/d/1SX6NBoVAgQJ6U1MVXOaj8PK2l7WJ3RER9xtqwdhxkhw/edit?usp=sharing"",""จันทบุรี!J166"")"),0)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IFERROR(__xludf.DUMMYFUNCTION("IMPORTRANGE(""https://docs.google.com/spreadsheets/d/1SX6NBoVAgQJ6U1MVXOaj8PK2l7WJ3RER9xtqwdhxkhw/edit?usp=sharing"",""จันทบุรี!I506"")"),50)</f>
        <v>50</v>
      </c>
      <c r="J611" s="162">
        <f ca="1">IFERROR(__xludf.DUMMYFUNCTION("IMPORTRANGE(""https://docs.google.com/spreadsheets/d/1SX6NBoVAgQJ6U1MVXOaj8PK2l7WJ3RER9xtqwdhxkhw/edit?usp=sharing"",""จันทบุรี!J506"")"),0)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IFERROR(__xludf.DUMMYFUNCTION("IMPORTRANGE(""https://docs.google.com/spreadsheets/d/1SX6NBoVAgQJ6U1MVXOaj8PK2l7WJ3RER9xtqwdhxkhw/edit?usp=sharing"",""จันทบุรี!I507"")"),0)</f>
        <v>0</v>
      </c>
      <c r="J612" s="198">
        <f ca="1">IFERROR(__xludf.DUMMYFUNCTION("IMPORTRANGE(""https://docs.google.com/spreadsheets/d/1SX6NBoVAgQJ6U1MVXOaj8PK2l7WJ3RER9xtqwdhxkhw/edit?usp=sharing"",""จันทบุรี!J507"")"),0)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IFERROR(__xludf.DUMMYFUNCTION("IMPORTRANGE(""https://docs.google.com/spreadsheets/d/1SX6NBoVAgQJ6U1MVXOaj8PK2l7WJ3RER9xtqwdhxkhw/edit?usp=sharing"",""จันทบุรี!I508"")"),0)</f>
        <v>0</v>
      </c>
      <c r="J613" s="198">
        <f ca="1">IFERROR(__xludf.DUMMYFUNCTION("IMPORTRANGE(""https://docs.google.com/spreadsheets/d/1SX6NBoVAgQJ6U1MVXOaj8PK2l7WJ3RER9xtqwdhxkhw/edit?usp=sharing"",""จันทบุรี!J508"")"),0)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IFERROR(__xludf.DUMMYFUNCTION("IMPORTRANGE(""https://docs.google.com/spreadsheets/d/1SX6NBoVAgQJ6U1MVXOaj8PK2l7WJ3RER9xtqwdhxkhw/edit?usp=sharing"",""จันทบุรี!I509"")"),0)</f>
        <v>0</v>
      </c>
      <c r="J614" s="198">
        <f ca="1">IFERROR(__xludf.DUMMYFUNCTION("IMPORTRANGE(""https://docs.google.com/spreadsheets/d/1SX6NBoVAgQJ6U1MVXOaj8PK2l7WJ3RER9xtqwdhxkhw/edit?usp=sharing"",""จันทบุรี!J509"")"),0)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IFERROR(__xludf.DUMMYFUNCTION("IMPORTRANGE(""https://docs.google.com/spreadsheets/d/1SX6NBoVAgQJ6U1MVXOaj8PK2l7WJ3RER9xtqwdhxkhw/edit?usp=sharing"",""จันทบุรี!I510"")"),0)</f>
        <v>0</v>
      </c>
      <c r="J615" s="198">
        <f ca="1">IFERROR(__xludf.DUMMYFUNCTION("IMPORTRANGE(""https://docs.google.com/spreadsheets/d/1SX6NBoVAgQJ6U1MVXOaj8PK2l7WJ3RER9xtqwdhxkhw/edit?usp=sharing"",""จันทบุรี!J510"")"),0)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IFERROR(__xludf.DUMMYFUNCTION("IMPORTRANGE(""https://docs.google.com/spreadsheets/d/1SX6NBoVAgQJ6U1MVXOaj8PK2l7WJ3RER9xtqwdhxkhw/edit?usp=sharing"",""จันทบุรี!I511"")"),0)</f>
        <v>0</v>
      </c>
      <c r="J616" s="198">
        <f ca="1">IFERROR(__xludf.DUMMYFUNCTION("IMPORTRANGE(""https://docs.google.com/spreadsheets/d/1SX6NBoVAgQJ6U1MVXOaj8PK2l7WJ3RER9xtqwdhxkhw/edit?usp=sharing"",""จันทบุรี!J511"")"),0)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IFERROR(__xludf.DUMMYFUNCTION("IMPORTRANGE(""https://docs.google.com/spreadsheets/d/1SX6NBoVAgQJ6U1MVXOaj8PK2l7WJ3RER9xtqwdhxkhw/edit?usp=sharing"",""จันทบุรี!I512"")"),0)</f>
        <v>0</v>
      </c>
      <c r="J617" s="188">
        <f ca="1">IFERROR(__xludf.DUMMYFUNCTION("IMPORTRANGE(""https://docs.google.com/spreadsheets/d/1SX6NBoVAgQJ6U1MVXOaj8PK2l7WJ3RER9xtqwdhxkhw/edit?usp=sharing"",""จันทบุรี!J512"")"),0)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IFERROR(__xludf.DUMMYFUNCTION("IMPORTRANGE(""https://docs.google.com/spreadsheets/d/1SX6NBoVAgQJ6U1MVXOaj8PK2l7WJ3RER9xtqwdhxkhw/edit?usp=sharing"",""จันทบุรี!I513"")"),0)</f>
        <v>0</v>
      </c>
      <c r="J618" s="189">
        <f ca="1">IFERROR(__xludf.DUMMYFUNCTION("IMPORTRANGE(""https://docs.google.com/spreadsheets/d/1SX6NBoVAgQJ6U1MVXOaj8PK2l7WJ3RER9xtqwdhxkhw/edit?usp=sharing"",""จันทบุรี!J513"")"),0)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IFERROR(__xludf.DUMMYFUNCTION("IMPORTRANGE(""https://docs.google.com/spreadsheets/d/1SX6NBoVAgQJ6U1MVXOaj8PK2l7WJ3RER9xtqwdhxkhw/edit?usp=sharing"",""จันทบุรี!I514"")"),0)</f>
        <v>0</v>
      </c>
      <c r="J619" s="189">
        <f ca="1">IFERROR(__xludf.DUMMYFUNCTION("IMPORTRANGE(""https://docs.google.com/spreadsheets/d/1SX6NBoVAgQJ6U1MVXOaj8PK2l7WJ3RER9xtqwdhxkhw/edit?usp=sharing"",""จันทบุรี!J514"")"),0)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IFERROR(__xludf.DUMMYFUNCTION("IMPORTRANGE(""https://docs.google.com/spreadsheets/d/1SX6NBoVAgQJ6U1MVXOaj8PK2l7WJ3RER9xtqwdhxkhw/edit?usp=sharing"",""จันทบุรี!I515"")"),0)</f>
        <v>0</v>
      </c>
      <c r="J620" s="203">
        <f ca="1">IFERROR(__xludf.DUMMYFUNCTION("IMPORTRANGE(""https://docs.google.com/spreadsheets/d/1SX6NBoVAgQJ6U1MVXOaj8PK2l7WJ3RER9xtqwdhxkhw/edit?usp=sharing"",""จันทบุรี!J515"")"),0)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IFERROR(__xludf.DUMMYFUNCTION("IMPORTRANGE(""https://docs.google.com/spreadsheets/d/1SX6NBoVAgQJ6U1MVXOaj8PK2l7WJ3RER9xtqwdhxkhw/edit?usp=sharing"",""จันทบุรี!I516"")"),0)</f>
        <v>0</v>
      </c>
      <c r="J621" s="203">
        <f ca="1">IFERROR(__xludf.DUMMYFUNCTION("IMPORTRANGE(""https://docs.google.com/spreadsheets/d/1SX6NBoVAgQJ6U1MVXOaj8PK2l7WJ3RER9xtqwdhxkhw/edit?usp=sharing"",""จันทบุรี!J516"")"),0)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IFERROR(__xludf.DUMMYFUNCTION("IMPORTRANGE(""https://docs.google.com/spreadsheets/d/1SX6NBoVAgQJ6U1MVXOaj8PK2l7WJ3RER9xtqwdhxkhw/edit?usp=sharing"",""จันทบุรี!I517"")"),0)</f>
        <v>0</v>
      </c>
      <c r="J622" s="189">
        <f ca="1">IFERROR(__xludf.DUMMYFUNCTION("IMPORTRANGE(""https://docs.google.com/spreadsheets/d/1SX6NBoVAgQJ6U1MVXOaj8PK2l7WJ3RER9xtqwdhxkhw/edit?usp=sharing"",""จันทบุรี!J517"")"),0)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IFERROR(__xludf.DUMMYFUNCTION("IMPORTRANGE(""https://docs.google.com/spreadsheets/d/1SX6NBoVAgQJ6U1MVXOaj8PK2l7WJ3RER9xtqwdhxkhw/edit?usp=sharing"",""จันทบุรี!I518"")"),0)</f>
        <v>0</v>
      </c>
      <c r="J623" s="189">
        <f ca="1">IFERROR(__xludf.DUMMYFUNCTION("IMPORTRANGE(""https://docs.google.com/spreadsheets/d/1SX6NBoVAgQJ6U1MVXOaj8PK2l7WJ3RER9xtqwdhxkhw/edit?usp=sharing"",""จันทบุรี!J518"")"),0)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IFERROR(__xludf.DUMMYFUNCTION("IMPORTRANGE(""https://docs.google.com/spreadsheets/d/1SX6NBoVAgQJ6U1MVXOaj8PK2l7WJ3RER9xtqwdhxkhw/edit?usp=sharing"",""จันทบุรี!I519"")"),0)</f>
        <v>0</v>
      </c>
      <c r="J624" s="188">
        <f ca="1">IFERROR(__xludf.DUMMYFUNCTION("IMPORTRANGE(""https://docs.google.com/spreadsheets/d/1SX6NBoVAgQJ6U1MVXOaj8PK2l7WJ3RER9xtqwdhxkhw/edit?usp=sharing"",""จันทบุรี!J519"")"),0)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IFERROR(__xludf.DUMMYFUNCTION("IMPORTRANGE(""https://docs.google.com/spreadsheets/d/1SX6NBoVAgQJ6U1MVXOaj8PK2l7WJ3RER9xtqwdhxkhw/edit?usp=sharing"",""จันทบุรี!I520"")"),0)</f>
        <v>0</v>
      </c>
      <c r="J625" s="189">
        <f ca="1">IFERROR(__xludf.DUMMYFUNCTION("IMPORTRANGE(""https://docs.google.com/spreadsheets/d/1SX6NBoVAgQJ6U1MVXOaj8PK2l7WJ3RER9xtqwdhxkhw/edit?usp=sharing"",""จันทบุรี!J520"")"),0)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IFERROR(__xludf.DUMMYFUNCTION("IMPORTRANGE(""https://docs.google.com/spreadsheets/d/1SX6NBoVAgQJ6U1MVXOaj8PK2l7WJ3RER9xtqwdhxkhw/edit?usp=sharing"",""จันทบุรี!I521"")"),0)</f>
        <v>0</v>
      </c>
      <c r="J626" s="189">
        <f ca="1">IFERROR(__xludf.DUMMYFUNCTION("IMPORTRANGE(""https://docs.google.com/spreadsheets/d/1SX6NBoVAgQJ6U1MVXOaj8PK2l7WJ3RER9xtqwdhxkhw/edit?usp=sharing"",""จันทบุรี!J521"")"),0)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IFERROR(__xludf.DUMMYFUNCTION("IMPORTRANGE(""https://docs.google.com/spreadsheets/d/1SX6NBoVAgQJ6U1MVXOaj8PK2l7WJ3RER9xtqwdhxkhw/edit?usp=sharing"",""จันทบุรี!I523"")"),7886000)</f>
        <v>7886000</v>
      </c>
      <c r="J628" s="341">
        <f ca="1">IFERROR(__xludf.DUMMYFUNCTION("IMPORTRANGE(""https://docs.google.com/spreadsheets/d/1SX6NBoVAgQJ6U1MVXOaj8PK2l7WJ3RER9xtqwdhxkhw/edit?usp=sharing"",""จันทบุรี!J523"")"),3920000)</f>
        <v>3920000</v>
      </c>
      <c r="K628" s="342">
        <f t="shared" ref="K628:K635" ca="1" si="129">IF(I628&gt;0,J628*100/I628,0)</f>
        <v>49.708343900583316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IFERROR(__xludf.DUMMYFUNCTION("IMPORTRANGE(""https://docs.google.com/spreadsheets/d/1SX6NBoVAgQJ6U1MVXOaj8PK2l7WJ3RER9xtqwdhxkhw/edit?usp=sharing"",""จันทบุรี!I524"")"),395)</f>
        <v>395</v>
      </c>
      <c r="J629" s="341">
        <f ca="1">IFERROR(__xludf.DUMMYFUNCTION("IMPORTRANGE(""https://docs.google.com/spreadsheets/d/1SX6NBoVAgQJ6U1MVXOaj8PK2l7WJ3RER9xtqwdhxkhw/edit?usp=sharing"",""จันทบุรี!J524"")"),196)</f>
        <v>196</v>
      </c>
      <c r="K629" s="342">
        <f t="shared" ca="1" si="129"/>
        <v>49.620253164556964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IFERROR(__xludf.DUMMYFUNCTION("IMPORTRANGE(""https://docs.google.com/spreadsheets/d/1SX6NBoVAgQJ6U1MVXOaj8PK2l7WJ3RER9xtqwdhxkhw/edit?usp=sharing"",""จันทบุรี!I525"")"),16285465.2)</f>
        <v>16285465.199999999</v>
      </c>
      <c r="J630" s="341">
        <f ca="1">IFERROR(__xludf.DUMMYFUNCTION("IMPORTRANGE(""https://docs.google.com/spreadsheets/d/1SX6NBoVAgQJ6U1MVXOaj8PK2l7WJ3RER9xtqwdhxkhw/edit?usp=sharing"",""จันทบุรี!J525"")"),553311.63)</f>
        <v>553311.63</v>
      </c>
      <c r="K630" s="342">
        <f t="shared" ca="1" si="129"/>
        <v>3.3975795177162027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IFERROR(__xludf.DUMMYFUNCTION("IMPORTRANGE(""https://docs.google.com/spreadsheets/d/1SX6NBoVAgQJ6U1MVXOaj8PK2l7WJ3RER9xtqwdhxkhw/edit?usp=sharing"",""จันทบุรี!I526"")"),368)</f>
        <v>368</v>
      </c>
      <c r="J631" s="341">
        <f ca="1">IFERROR(__xludf.DUMMYFUNCTION("IMPORTRANGE(""https://docs.google.com/spreadsheets/d/1SX6NBoVAgQJ6U1MVXOaj8PK2l7WJ3RER9xtqwdhxkhw/edit?usp=sharing"",""จันทบุรี!J526"")"),66)</f>
        <v>66</v>
      </c>
      <c r="K631" s="342">
        <f t="shared" ca="1" si="129"/>
        <v>17.934782608695652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IFERROR(__xludf.DUMMYFUNCTION("IMPORTRANGE(""https://docs.google.com/spreadsheets/d/1SX6NBoVAgQJ6U1MVXOaj8PK2l7WJ3RER9xtqwdhxkhw/edit?usp=sharing"",""จันทบุรี!I527"")"),1735136.41)</f>
        <v>1735136.41</v>
      </c>
      <c r="J632" s="341">
        <f ca="1">IFERROR(__xludf.DUMMYFUNCTION("IMPORTRANGE(""https://docs.google.com/spreadsheets/d/1SX6NBoVAgQJ6U1MVXOaj8PK2l7WJ3RER9xtqwdhxkhw/edit?usp=sharing"",""จันทบุรี!J527"")"),218870.82)</f>
        <v>218870.82</v>
      </c>
      <c r="K632" s="342">
        <f t="shared" ca="1" si="129"/>
        <v>12.614041105851729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IFERROR(__xludf.DUMMYFUNCTION("IMPORTRANGE(""https://docs.google.com/spreadsheets/d/1SX6NBoVAgQJ6U1MVXOaj8PK2l7WJ3RER9xtqwdhxkhw/edit?usp=sharing"",""จันทบุรี!I528"")"),121)</f>
        <v>121</v>
      </c>
      <c r="J633" s="341">
        <f ca="1">IFERROR(__xludf.DUMMYFUNCTION("IMPORTRANGE(""https://docs.google.com/spreadsheets/d/1SX6NBoVAgQJ6U1MVXOaj8PK2l7WJ3RER9xtqwdhxkhw/edit?usp=sharing"",""จันทบุรี!J528"")"),14)</f>
        <v>14</v>
      </c>
      <c r="K633" s="342">
        <f t="shared" ca="1" si="129"/>
        <v>11.570247933884298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IFERROR(__xludf.DUMMYFUNCTION("IMPORTRANGE(""https://docs.google.com/spreadsheets/d/1SX6NBoVAgQJ6U1MVXOaj8PK2l7WJ3RER9xtqwdhxkhw/edit?usp=sharing"",""จันทบุรี!I529"")"),4000000)</f>
        <v>4000000</v>
      </c>
      <c r="J634" s="341">
        <f ca="1">IFERROR(__xludf.DUMMYFUNCTION("IMPORTRANGE(""https://docs.google.com/spreadsheets/d/1SX6NBoVAgQJ6U1MVXOaj8PK2l7WJ3RER9xtqwdhxkhw/edit?usp=sharing"",""จันทบุรี!J529"")"),2280000)</f>
        <v>2280000</v>
      </c>
      <c r="K634" s="342">
        <f t="shared" ca="1" si="129"/>
        <v>57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IFERROR(__xludf.DUMMYFUNCTION("IMPORTRANGE(""https://docs.google.com/spreadsheets/d/1SX6NBoVAgQJ6U1MVXOaj8PK2l7WJ3RER9xtqwdhxkhw/edit?usp=sharing"",""จันทบุรี!I530"")"),200)</f>
        <v>200</v>
      </c>
      <c r="J635" s="504">
        <f ca="1">IFERROR(__xludf.DUMMYFUNCTION("IMPORTRANGE(""https://docs.google.com/spreadsheets/d/1SX6NBoVAgQJ6U1MVXOaj8PK2l7WJ3RER9xtqwdhxkhw/edit?usp=sharing"",""จันทบุรี!J530"")"),114)</f>
        <v>114</v>
      </c>
      <c r="K635" s="486">
        <f t="shared" ca="1" si="129"/>
        <v>57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242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7675554</v>
      </c>
      <c r="M8" s="23">
        <f t="shared" ca="1" si="0"/>
        <v>4197320</v>
      </c>
      <c r="N8" s="23">
        <f t="shared" ca="1" si="0"/>
        <v>3238987.2199999988</v>
      </c>
      <c r="O8" s="22">
        <f t="shared" ref="O8:O16" ca="1" si="1">IF(L8&gt;0,N8*100/L8,0)</f>
        <v>42.198741875830706</v>
      </c>
      <c r="P8" s="22">
        <f t="shared" ref="P8:P16" ca="1" si="2">IF(M8&gt;0,N8*100/M8,0)</f>
        <v>77.167983856365467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7675554</v>
      </c>
      <c r="M10" s="30">
        <f t="shared" ca="1" si="4"/>
        <v>4197320</v>
      </c>
      <c r="N10" s="30">
        <f t="shared" ca="1" si="4"/>
        <v>3238987.2199999988</v>
      </c>
      <c r="O10" s="29">
        <f t="shared" ca="1" si="1"/>
        <v>42.198741875830706</v>
      </c>
      <c r="P10" s="29">
        <f t="shared" ca="1" si="2"/>
        <v>77.167983856365467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6432154</v>
      </c>
      <c r="M12" s="38">
        <f t="shared" ca="1" si="6"/>
        <v>2953920</v>
      </c>
      <c r="N12" s="38">
        <f t="shared" ca="1" si="6"/>
        <v>3033587.2199999988</v>
      </c>
      <c r="O12" s="38">
        <f t="shared" ca="1" si="1"/>
        <v>47.162851200391017</v>
      </c>
      <c r="P12" s="38">
        <f t="shared" ca="1" si="2"/>
        <v>102.69699991875198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2298800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4133354</v>
      </c>
      <c r="M14" s="38">
        <f t="shared" si="8"/>
        <v>0</v>
      </c>
      <c r="N14" s="38">
        <f t="shared" ca="1" si="8"/>
        <v>1159889.9799999991</v>
      </c>
      <c r="O14" s="38">
        <f t="shared" ca="1" si="1"/>
        <v>28.061714046268456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1243400</v>
      </c>
      <c r="M16" s="38">
        <f t="shared" ca="1" si="10"/>
        <v>1243400</v>
      </c>
      <c r="N16" s="38">
        <f t="shared" ca="1" si="10"/>
        <v>205400</v>
      </c>
      <c r="O16" s="49">
        <f t="shared" ca="1" si="1"/>
        <v>16.519221489464371</v>
      </c>
      <c r="P16" s="49">
        <f t="shared" ca="1" si="2"/>
        <v>16.519221489464371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4992635</v>
      </c>
      <c r="M18" s="23">
        <f t="shared" ca="1" si="11"/>
        <v>4197320</v>
      </c>
      <c r="N18" s="23">
        <f t="shared" ca="1" si="11"/>
        <v>2079097.2399999998</v>
      </c>
      <c r="O18" s="22">
        <f t="shared" ref="O18:O20" ca="1" si="12">IF(L18&gt;0,N18*100/L18,0)</f>
        <v>41.643285359334293</v>
      </c>
      <c r="P18" s="22">
        <f t="shared" ref="P18:P26" ca="1" si="13">IF(M18&gt;0,N18*100/M18,0)</f>
        <v>49.533922598229339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4992635</v>
      </c>
      <c r="M20" s="30">
        <f t="shared" ca="1" si="15"/>
        <v>4197320</v>
      </c>
      <c r="N20" s="30">
        <f t="shared" ca="1" si="15"/>
        <v>2079097.2399999998</v>
      </c>
      <c r="O20" s="29">
        <f t="shared" ca="1" si="12"/>
        <v>41.643285359334293</v>
      </c>
      <c r="P20" s="29">
        <f t="shared" ca="1" si="13"/>
        <v>49.533922598229339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3749235</v>
      </c>
      <c r="M22" s="41">
        <f t="shared" ca="1" si="18"/>
        <v>2953920</v>
      </c>
      <c r="N22" s="38">
        <f t="shared" ca="1" si="18"/>
        <v>1873697.2399999998</v>
      </c>
      <c r="O22" s="38">
        <f t="shared" ca="1" si="17"/>
        <v>49.975454726097446</v>
      </c>
      <c r="P22" s="38">
        <f t="shared" ca="1" si="13"/>
        <v>63.43087287401147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2298800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1450435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1243400</v>
      </c>
      <c r="M26" s="49">
        <f t="shared" ca="1" si="22"/>
        <v>1243400</v>
      </c>
      <c r="N26" s="49">
        <f t="shared" ca="1" si="22"/>
        <v>205400</v>
      </c>
      <c r="O26" s="49">
        <f t="shared" ca="1" si="17"/>
        <v>16.519221489464371</v>
      </c>
      <c r="P26" s="49">
        <f t="shared" ca="1" si="13"/>
        <v>16.519221489464371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2682919</v>
      </c>
      <c r="M28" s="23">
        <f t="shared" si="23"/>
        <v>0</v>
      </c>
      <c r="N28" s="23">
        <f t="shared" ca="1" si="23"/>
        <v>1159889.9799999991</v>
      </c>
      <c r="O28" s="22">
        <f t="shared" ref="O28:O30" ca="1" si="24">IF(L28&gt;0,N28*100/L28,0)</f>
        <v>43.232389050880741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2682919</v>
      </c>
      <c r="M30" s="30">
        <f t="shared" si="27"/>
        <v>0</v>
      </c>
      <c r="N30" s="30">
        <f t="shared" ca="1" si="27"/>
        <v>1159889.9799999991</v>
      </c>
      <c r="O30" s="29">
        <f t="shared" ca="1" si="24"/>
        <v>43.232389050880741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2682919</v>
      </c>
      <c r="M32" s="38">
        <f t="shared" si="30"/>
        <v>0</v>
      </c>
      <c r="N32" s="38">
        <f t="shared" ca="1" si="30"/>
        <v>1159889.9799999991</v>
      </c>
      <c r="O32" s="38">
        <f t="shared" ca="1" si="29"/>
        <v>43.232389050880741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2682919</v>
      </c>
      <c r="M34" s="38">
        <f t="shared" si="32"/>
        <v>0</v>
      </c>
      <c r="N34" s="38">
        <f t="shared" ca="1" si="32"/>
        <v>1159889.9799999991</v>
      </c>
      <c r="O34" s="38">
        <f t="shared" ca="1" si="29"/>
        <v>43.232389050880741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4992635</v>
      </c>
      <c r="M37" s="54">
        <f t="shared" ca="1" si="33"/>
        <v>4197320</v>
      </c>
      <c r="N37" s="54">
        <f t="shared" ca="1" si="33"/>
        <v>2079097.2399999998</v>
      </c>
      <c r="O37" s="55">
        <f t="shared" ca="1" si="29"/>
        <v>41.643285359334293</v>
      </c>
      <c r="P37" s="55">
        <f t="shared" ca="1" si="25"/>
        <v>49.533922598229339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2062100</v>
      </c>
      <c r="M41" s="78">
        <f t="shared" ca="1" si="34"/>
        <v>1830100</v>
      </c>
      <c r="N41" s="78">
        <f t="shared" ca="1" si="34"/>
        <v>537022.21</v>
      </c>
      <c r="O41" s="77">
        <f t="shared" ref="O41:O43" ca="1" si="35">IF(L41&gt;0,N41*100/L41,0)</f>
        <v>26.042491149798749</v>
      </c>
      <c r="P41" s="77">
        <f t="shared" ref="P41:P43" ca="1" si="36">IF(M41&gt;0,N41*100/M41,0)</f>
        <v>29.343872465985466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2062100</v>
      </c>
      <c r="M43" s="78">
        <f t="shared" ca="1" si="38"/>
        <v>1830100</v>
      </c>
      <c r="N43" s="78">
        <f t="shared" ca="1" si="38"/>
        <v>537022.21</v>
      </c>
      <c r="O43" s="77">
        <f t="shared" ca="1" si="35"/>
        <v>26.042491149798749</v>
      </c>
      <c r="P43" s="77">
        <f t="shared" ca="1" si="36"/>
        <v>29.343872465985466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928100</v>
      </c>
      <c r="M45" s="49">
        <f ca="1">IFERROR(__xludf.DUMMYFUNCTION("IMPORTRANGE(""https://docs.google.com/spreadsheets/d/1Yj_ptqi66GCucihVvJfMjLAmec39IyEx_6qawtMGysU/edit?usp=sharing"",""สบก!Q61"")"),696100)</f>
        <v>696100</v>
      </c>
      <c r="N45" s="49">
        <f ca="1">IFERROR(__xludf.DUMMYFUNCTION("IMPORTRANGE(""https://docs.google.com/spreadsheets/d/1Yj_ptqi66GCucihVvJfMjLAmec39IyEx_6qawtMGysU/edit?usp=sharing"",""สบก!R61"")"),441022.21)</f>
        <v>441022.21</v>
      </c>
      <c r="O45" s="38">
        <f ca="1">IF(L45&gt;0,N45*100/L45,0)</f>
        <v>47.518824480120678</v>
      </c>
      <c r="P45" s="38">
        <f ca="1">IF(M45&gt;0,N45*100/M45,0)</f>
        <v>63.356157161327395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IFERROR(__xludf.DUMMYFUNCTION("IMPORTRANGE(""https://docs.google.com/spreadsheets/d/1Yj_ptqi66GCucihVvJfMjLAmec39IyEx_6qawtMGysU/edit?usp=sharing"",""สบก!M61"")"),928100)</f>
        <v>928100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IFERROR(__xludf.DUMMYFUNCTION("IMPORTRANGE(""https://docs.google.com/spreadsheets/d/1Yj_ptqi66GCucihVvJfMjLAmec39IyEx_6qawtMGysU/edit?usp=sharing"",""สบก!O61"")"),1134000)</f>
        <v>1134000</v>
      </c>
      <c r="M49" s="49">
        <f ca="1">L49</f>
        <v>1134000</v>
      </c>
      <c r="N49" s="49">
        <f ca="1">IFERROR(__xludf.DUMMYFUNCTION("IMPORTRANGE(""https://docs.google.com/spreadsheets/d/1Yj_ptqi66GCucihVvJfMjLAmec39IyEx_6qawtMGysU/edit?usp=sharing"",""สบก!S61"")"),96000)</f>
        <v>96000</v>
      </c>
      <c r="O49" s="49">
        <f ca="1">IF(L49&gt;0,N49*100/L49,0)</f>
        <v>8.4656084656084651</v>
      </c>
      <c r="P49" s="49">
        <f ca="1">IF(M49&gt;0,N49*100/M49,0)</f>
        <v>8.4656084656084651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530000</v>
      </c>
      <c r="M53" s="121">
        <f t="shared" ca="1" si="39"/>
        <v>433650</v>
      </c>
      <c r="N53" s="121">
        <f t="shared" ca="1" si="39"/>
        <v>275389</v>
      </c>
      <c r="O53" s="120">
        <f t="shared" ref="O53:O55" ca="1" si="40">IF(L53&gt;0,N53*100/L53,0)</f>
        <v>51.960188679245285</v>
      </c>
      <c r="P53" s="120">
        <f t="shared" ref="P53:P55" ca="1" si="41">IF(M53&gt;0,N53*100/M53,0)</f>
        <v>63.50490026519082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530000</v>
      </c>
      <c r="M55" s="121">
        <f t="shared" ca="1" si="43"/>
        <v>433650</v>
      </c>
      <c r="N55" s="121">
        <f t="shared" ca="1" si="43"/>
        <v>275389</v>
      </c>
      <c r="O55" s="120">
        <f t="shared" ca="1" si="40"/>
        <v>51.960188679245285</v>
      </c>
      <c r="P55" s="120">
        <f t="shared" ca="1" si="41"/>
        <v>63.50490026519082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530000</v>
      </c>
      <c r="M57" s="49">
        <f ca="1">IFERROR(__xludf.DUMMYFUNCTION("IMPORTRANGE(""https://docs.google.com/spreadsheets/d/1Yj_ptqi66GCucihVvJfMjLAmec39IyEx_6qawtMGysU/edit?usp=sharing"",""สบก!Z61"")"),433650)</f>
        <v>433650</v>
      </c>
      <c r="N57" s="49">
        <f ca="1">IFERROR(__xludf.DUMMYFUNCTION("IMPORTRANGE(""https://docs.google.com/spreadsheets/d/1Yj_ptqi66GCucihVvJfMjLAmec39IyEx_6qawtMGysU/edit?usp=sharing"",""สบก!AA61"")"),275389)</f>
        <v>275389</v>
      </c>
      <c r="O57" s="38">
        <f ca="1">IF(L57&gt;0,N57*100/L57,0)</f>
        <v>51.960188679245285</v>
      </c>
      <c r="P57" s="38">
        <f ca="1">IF(M57&gt;0,N57*100/M57,0)</f>
        <v>63.50490026519082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IFERROR(__xludf.DUMMYFUNCTION("IMPORTRANGE(""https://docs.google.com/spreadsheets/d/1Yj_ptqi66GCucihVvJfMjLAmec39IyEx_6qawtMGysU/edit?usp=sharing"",""สบก!V61"")"),530000)</f>
        <v>530000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IFERROR(__xludf.DUMMYFUNCTION("IMPORTRANGE(""https://docs.google.com/spreadsheets/d/1Yj_ptqi66GCucihVvJfMjLAmec39IyEx_6qawtMGysU/edit?usp=sharing"",""สบก!X61"")"),0)</f>
        <v>0</v>
      </c>
      <c r="M61" s="49"/>
      <c r="N61" s="49">
        <f ca="1">IFERROR(__xludf.DUMMYFUNCTION("IMPORTRANGE(""https://docs.google.com/spreadsheets/d/1Yj_ptqi66GCucihVvJfMjLAmec39IyEx_6qawtMGysU/edit?usp=sharing"",""สบก!AB61"")"),0)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IFERROR(__xludf.DUMMYFUNCTION("IMPORTRANGE(""https://docs.google.com/spreadsheets/d/1SX6NBoVAgQJ6U1MVXOaj8PK2l7WJ3RER9xtqwdhxkhw/edit?usp=sharing"",""ฉะเชิงเทรา!I9"")"),0)</f>
        <v>0</v>
      </c>
      <c r="J64" s="142">
        <f ca="1">IFERROR(__xludf.DUMMYFUNCTION("IMPORTRANGE(""https://docs.google.com/spreadsheets/d/1SX6NBoVAgQJ6U1MVXOaj8PK2l7WJ3RER9xtqwdhxkhw/edit?usp=sharing"",""ฉะเชิงเทรา!J9"")"),0)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IFERROR(__xludf.DUMMYFUNCTION("IMPORTRANGE(""https://docs.google.com/spreadsheets/d/1SX6NBoVAgQJ6U1MVXOaj8PK2l7WJ3RER9xtqwdhxkhw/edit?usp=sharing"",""ฉะเชิงเทรา!I10"")"),0)</f>
        <v>0</v>
      </c>
      <c r="J65" s="142">
        <f ca="1">IFERROR(__xludf.DUMMYFUNCTION("IMPORTRANGE(""https://docs.google.com/spreadsheets/d/1SX6NBoVAgQJ6U1MVXOaj8PK2l7WJ3RER9xtqwdhxkhw/edit?usp=sharing"",""ฉะเชิงเทรา!J10"")"),0)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IFERROR(__xludf.DUMMYFUNCTION("IMPORTRANGE(""https://docs.google.com/spreadsheets/d/1Yj_ptqi66GCucihVvJfMjLAmec39IyEx_6qawtMGysU/edit?usp=sharing"",""สบก!AI61"")"),0)</f>
        <v>0</v>
      </c>
      <c r="N70" s="169">
        <f ca="1">IFERROR(__xludf.DUMMYFUNCTION("IMPORTRANGE(""https://docs.google.com/spreadsheets/d/1Yj_ptqi66GCucihVvJfMjLAmec39IyEx_6qawtMGysU/edit?usp=sharing"",""สบก!AJ61"")"),0)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IFERROR(__xludf.DUMMYFUNCTION("IMPORTRANGE(""https://docs.google.com/spreadsheets/d/1Yj_ptqi66GCucihVvJfMjLAmec39IyEx_6qawtMGysU/edit?usp=sharing"",""สบก!AE61"")"),0)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IFERROR(__xludf.DUMMYFUNCTION("IMPORTRANGE(""https://docs.google.com/spreadsheets/d/1Yj_ptqi66GCucihVvJfMjLAmec39IyEx_6qawtMGysU/edit?usp=sharing"",""สบก!AF61"")"),0)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IFERROR(__xludf.DUMMYFUNCTION("IMPORTRANGE(""https://docs.google.com/spreadsheets/d/1Yj_ptqi66GCucihVvJfMjLAmec39IyEx_6qawtMGysU/edit?usp=sharing"",""สบก!AG61"")"),0)</f>
        <v>0</v>
      </c>
      <c r="M74" s="49"/>
      <c r="N74" s="49">
        <f ca="1">IFERROR(__xludf.DUMMYFUNCTION("IMPORTRANGE(""https://docs.google.com/spreadsheets/d/1Yj_ptqi66GCucihVvJfMjLAmec39IyEx_6qawtMGysU/edit?usp=sharing"",""สบก!AK61"")"),0)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IFERROR(__xludf.DUMMYFUNCTION("IMPORTRANGE(""https://docs.google.com/spreadsheets/d/1SX6NBoVAgQJ6U1MVXOaj8PK2l7WJ3RER9xtqwdhxkhw/edit?usp=sharing"",""ฉะเชิงเทรา!J16"")"),0)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IFERROR(__xludf.DUMMYFUNCTION("IMPORTRANGE(""https://docs.google.com/spreadsheets/d/1SX6NBoVAgQJ6U1MVXOaj8PK2l7WJ3RER9xtqwdhxkhw/edit?usp=sharing"",""ฉะเชิงเทรา!J17"")"),0)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IFERROR(__xludf.DUMMYFUNCTION("IMPORTRANGE(""https://docs.google.com/spreadsheets/d/1SX6NBoVAgQJ6U1MVXOaj8PK2l7WJ3RER9xtqwdhxkhw/edit?usp=sharing"",""ฉะเชิงเทรา!J18"")"),0)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IFERROR(__xludf.DUMMYFUNCTION("IMPORTRANGE(""https://docs.google.com/spreadsheets/d/1SX6NBoVAgQJ6U1MVXOaj8PK2l7WJ3RER9xtqwdhxkhw/edit?usp=sharing"",""ฉะเชิงเทรา!J19"")"),0)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IFERROR(__xludf.DUMMYFUNCTION("IMPORTRANGE(""https://docs.google.com/spreadsheets/d/1SX6NBoVAgQJ6U1MVXOaj8PK2l7WJ3RER9xtqwdhxkhw/edit?usp=sharing"",""ฉะเชิงเทรา!I20"")"),0)</f>
        <v>0</v>
      </c>
      <c r="J80" s="201">
        <f ca="1">IFERROR(__xludf.DUMMYFUNCTION("IMPORTRANGE(""https://docs.google.com/spreadsheets/d/1SX6NBoVAgQJ6U1MVXOaj8PK2l7WJ3RER9xtqwdhxkhw/edit?usp=sharing"",""ฉะเชิงเทรา!J20"")"),0)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IFERROR(__xludf.DUMMYFUNCTION("IMPORTRANGE(""https://docs.google.com/spreadsheets/d/1SX6NBoVAgQJ6U1MVXOaj8PK2l7WJ3RER9xtqwdhxkhw/edit?usp=sharing"",""ฉะเชิงเทรา!I21"")"),0)</f>
        <v>0</v>
      </c>
      <c r="J81" s="201">
        <f ca="1">IFERROR(__xludf.DUMMYFUNCTION("IMPORTRANGE(""https://docs.google.com/spreadsheets/d/1SX6NBoVAgQJ6U1MVXOaj8PK2l7WJ3RER9xtqwdhxkhw/edit?usp=sharing"",""ฉะเชิงเทรา!J21"")"),0)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IFERROR(__xludf.DUMMYFUNCTION("IMPORTRANGE(""https://docs.google.com/spreadsheets/d/1SX6NBoVAgQJ6U1MVXOaj8PK2l7WJ3RER9xtqwdhxkhw/edit?usp=sharing"",""ฉะเชิงเทรา!I22"")"),0)</f>
        <v>0</v>
      </c>
      <c r="J82" s="204">
        <f ca="1">IFERROR(__xludf.DUMMYFUNCTION("IMPORTRANGE(""https://docs.google.com/spreadsheets/d/1SX6NBoVAgQJ6U1MVXOaj8PK2l7WJ3RER9xtqwdhxkhw/edit?usp=sharing"",""ฉะเชิงเทรา!J22"")"),0)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IFERROR(__xludf.DUMMYFUNCTION("IMPORTRANGE(""https://docs.google.com/spreadsheets/d/1SX6NBoVAgQJ6U1MVXOaj8PK2l7WJ3RER9xtqwdhxkhw/edit?usp=sharing"",""ฉะเชิงเทรา!I23"")"),0)</f>
        <v>0</v>
      </c>
      <c r="J83" s="204">
        <f ca="1">IFERROR(__xludf.DUMMYFUNCTION("IMPORTRANGE(""https://docs.google.com/spreadsheets/d/1SX6NBoVAgQJ6U1MVXOaj8PK2l7WJ3RER9xtqwdhxkhw/edit?usp=sharing"",""ฉะเชิงเทรา!J23"")"),0)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IFERROR(__xludf.DUMMYFUNCTION("IMPORTRANGE(""https://docs.google.com/spreadsheets/d/1SX6NBoVAgQJ6U1MVXOaj8PK2l7WJ3RER9xtqwdhxkhw/edit?usp=sharing"",""ฉะเชิงเทรา!I24"")"),0)</f>
        <v>0</v>
      </c>
      <c r="J84" s="189">
        <f ca="1">IFERROR(__xludf.DUMMYFUNCTION("IMPORTRANGE(""https://docs.google.com/spreadsheets/d/1SX6NBoVAgQJ6U1MVXOaj8PK2l7WJ3RER9xtqwdhxkhw/edit?usp=sharing"",""ฉะเชิงเทรา!J24"")"),0)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IFERROR(__xludf.DUMMYFUNCTION("IMPORTRANGE(""https://docs.google.com/spreadsheets/d/1SX6NBoVAgQJ6U1MVXOaj8PK2l7WJ3RER9xtqwdhxkhw/edit?usp=sharing"",""ฉะเชิงเทรา!I25"")"),0)</f>
        <v>0</v>
      </c>
      <c r="J85" s="189">
        <f ca="1">IFERROR(__xludf.DUMMYFUNCTION("IMPORTRANGE(""https://docs.google.com/spreadsheets/d/1SX6NBoVAgQJ6U1MVXOaj8PK2l7WJ3RER9xtqwdhxkhw/edit?usp=sharing"",""ฉะเชิงเทรา!J25"")"),0)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IFERROR(__xludf.DUMMYFUNCTION("IMPORTRANGE(""https://docs.google.com/spreadsheets/d/1SX6NBoVAgQJ6U1MVXOaj8PK2l7WJ3RER9xtqwdhxkhw/edit?usp=sharing"",""ฉะเชิงเทรา!I26"")"),0)</f>
        <v>0</v>
      </c>
      <c r="J86" s="204">
        <f ca="1">IFERROR(__xludf.DUMMYFUNCTION("IMPORTRANGE(""https://docs.google.com/spreadsheets/d/1SX6NBoVAgQJ6U1MVXOaj8PK2l7WJ3RER9xtqwdhxkhw/edit?usp=sharing"",""ฉะเชิงเทรา!J26"")"),0)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IFERROR(__xludf.DUMMYFUNCTION("IMPORTRANGE(""https://docs.google.com/spreadsheets/d/1SX6NBoVAgQJ6U1MVXOaj8PK2l7WJ3RER9xtqwdhxkhw/edit?usp=sharing"",""ฉะเชิงเทรา!I27"")"),0)</f>
        <v>0</v>
      </c>
      <c r="J87" s="204">
        <f ca="1">IFERROR(__xludf.DUMMYFUNCTION("IMPORTRANGE(""https://docs.google.com/spreadsheets/d/1SX6NBoVAgQJ6U1MVXOaj8PK2l7WJ3RER9xtqwdhxkhw/edit?usp=sharing"",""ฉะเชิงเทรา!J27"")"),0)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IFERROR(__xludf.DUMMYFUNCTION("IMPORTRANGE(""https://docs.google.com/spreadsheets/d/1SX6NBoVAgQJ6U1MVXOaj8PK2l7WJ3RER9xtqwdhxkhw/edit?usp=sharing"",""ฉะเชิงเทรา!I28"")"),0)</f>
        <v>0</v>
      </c>
      <c r="J88" s="204">
        <f ca="1">IFERROR(__xludf.DUMMYFUNCTION("IMPORTRANGE(""https://docs.google.com/spreadsheets/d/1SX6NBoVAgQJ6U1MVXOaj8PK2l7WJ3RER9xtqwdhxkhw/edit?usp=sharing"",""ฉะเชิงเทรา!J28"")"),0)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IFERROR(__xludf.DUMMYFUNCTION("IMPORTRANGE(""https://docs.google.com/spreadsheets/d/1SX6NBoVAgQJ6U1MVXOaj8PK2l7WJ3RER9xtqwdhxkhw/edit?usp=sharing"",""ฉะเชิงเทรา!J29"")"),0)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IFERROR(__xludf.DUMMYFUNCTION("IMPORTRANGE(""https://docs.google.com/spreadsheets/d/1SX6NBoVAgQJ6U1MVXOaj8PK2l7WJ3RER9xtqwdhxkhw/edit?usp=sharing"",""ฉะเชิงเทรา!J30"")"),0)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IFERROR(__xludf.DUMMYFUNCTION("IMPORTRANGE(""https://docs.google.com/spreadsheets/d/1SX6NBoVAgQJ6U1MVXOaj8PK2l7WJ3RER9xtqwdhxkhw/edit?usp=sharing"",""ฉะเชิงเทรา!I32"")"),4)</f>
        <v>4</v>
      </c>
      <c r="J92" s="142">
        <f ca="1">IFERROR(__xludf.DUMMYFUNCTION("IMPORTRANGE(""https://docs.google.com/spreadsheets/d/1SX6NBoVAgQJ6U1MVXOaj8PK2l7WJ3RER9xtqwdhxkhw/edit?usp=sharing"",""ฉะเชิงเทรา!J32"")"),4)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IFERROR(__xludf.DUMMYFUNCTION("IMPORTRANGE(""https://docs.google.com/spreadsheets/d/1SX6NBoVAgQJ6U1MVXOaj8PK2l7WJ3RER9xtqwdhxkhw/edit?usp=sharing"",""ฉะเชิงเทรา!I33"")"),1)</f>
        <v>1</v>
      </c>
      <c r="J93" s="142">
        <f ca="1">IFERROR(__xludf.DUMMYFUNCTION("IMPORTRANGE(""https://docs.google.com/spreadsheets/d/1SX6NBoVAgQJ6U1MVXOaj8PK2l7WJ3RER9xtqwdhxkhw/edit?usp=sharing"",""ฉะเชิงเทรา!J33"")"),1)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125970</v>
      </c>
      <c r="O94" s="151">
        <f t="shared" ref="O94:O96" ca="1" si="53">IF(L94&gt;0,N94*100/L94,0)</f>
        <v>58.727272727272727</v>
      </c>
      <c r="P94" s="151">
        <f t="shared" ref="P94:P96" ca="1" si="54">IF(M94&gt;0,N94*100/M94,0)</f>
        <v>58.727272727272727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125970</v>
      </c>
      <c r="O96" s="156">
        <f t="shared" ca="1" si="53"/>
        <v>58.727272727272727</v>
      </c>
      <c r="P96" s="156">
        <f t="shared" ca="1" si="54"/>
        <v>58.727272727272727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IFERROR(__xludf.DUMMYFUNCTION("IMPORTRANGE(""https://docs.google.com/spreadsheets/d/1Yj_ptqi66GCucihVvJfMjLAmec39IyEx_6qawtMGysU/edit?usp=sharing"",""สบก!AR61"")"),122100)</f>
        <v>122100</v>
      </c>
      <c r="N98" s="169">
        <f ca="1">IFERROR(__xludf.DUMMYFUNCTION("IMPORTRANGE(""https://docs.google.com/spreadsheets/d/1Yj_ptqi66GCucihVvJfMjLAmec39IyEx_6qawtMGysU/edit?usp=sharing"",""สบก!AS61"")"),33570)</f>
        <v>33570</v>
      </c>
      <c r="O98" s="169">
        <f ca="1">IF(L98&gt;0,N98*100/L98,0)</f>
        <v>27.493857493857494</v>
      </c>
      <c r="P98" s="169">
        <f ca="1">IF(M98&gt;0,N98*100/M98,0)</f>
        <v>27.493857493857494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IFERROR(__xludf.DUMMYFUNCTION("IMPORTRANGE(""https://docs.google.com/spreadsheets/d/1Yj_ptqi66GCucihVvJfMjLAmec39IyEx_6qawtMGysU/edit?usp=sharing"",""สบก!AN61"")"),0)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IFERROR(__xludf.DUMMYFUNCTION("IMPORTRANGE(""https://docs.google.com/spreadsheets/d/1Yj_ptqi66GCucihVvJfMjLAmec39IyEx_6qawtMGysU/edit?usp=sharing"",""สบก!AO61"")"),122100)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IFERROR(__xludf.DUMMYFUNCTION("IMPORTRANGE(""https://docs.google.com/spreadsheets/d/1Yj_ptqi66GCucihVvJfMjLAmec39IyEx_6qawtMGysU/edit?usp=sharing"",""สบก!AT61"")"),92400)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IFERROR(__xludf.DUMMYFUNCTION("IMPORTRANGE(""https://docs.google.com/spreadsheets/d/1SX6NBoVAgQJ6U1MVXOaj8PK2l7WJ3RER9xtqwdhxkhw/edit?usp=sharing"",""ฉะเชิงเทรา!J39"")"),0)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IFERROR(__xludf.DUMMYFUNCTION("IMPORTRANGE(""https://docs.google.com/spreadsheets/d/1SX6NBoVAgQJ6U1MVXOaj8PK2l7WJ3RER9xtqwdhxkhw/edit?usp=sharing"",""ฉะเชิงเทรา!J40"")"),1)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IFERROR(__xludf.DUMMYFUNCTION("IMPORTRANGE(""https://docs.google.com/spreadsheets/d/1SX6NBoVAgQJ6U1MVXOaj8PK2l7WJ3RER9xtqwdhxkhw/edit?usp=sharing"",""ฉะเชิงเทรา!J41"")"),1)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IFERROR(__xludf.DUMMYFUNCTION("IMPORTRANGE(""https://docs.google.com/spreadsheets/d/1SX6NBoVAgQJ6U1MVXOaj8PK2l7WJ3RER9xtqwdhxkhw/edit?usp=sharing"",""ฉะเชิงเทรา!J42"")"),1)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IFERROR(__xludf.DUMMYFUNCTION("IMPORTRANGE(""https://docs.google.com/spreadsheets/d/1SX6NBoVAgQJ6U1MVXOaj8PK2l7WJ3RER9xtqwdhxkhw/edit?usp=sharing"",""ฉะเชิงเทรา!I43"")"),1)</f>
        <v>1</v>
      </c>
      <c r="J108" s="204">
        <f ca="1">IFERROR(__xludf.DUMMYFUNCTION("IMPORTRANGE(""https://docs.google.com/spreadsheets/d/1SX6NBoVAgQJ6U1MVXOaj8PK2l7WJ3RER9xtqwdhxkhw/edit?usp=sharing"",""ฉะเชิงเทรา!J43"")"),1)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IFERROR(__xludf.DUMMYFUNCTION("IMPORTRANGE(""https://docs.google.com/spreadsheets/d/1SX6NBoVAgQJ6U1MVXOaj8PK2l7WJ3RER9xtqwdhxkhw/edit?usp=sharing"",""ฉะเชิงเทรา!I44"")"),4)</f>
        <v>4</v>
      </c>
      <c r="J109" s="204">
        <f ca="1">IFERROR(__xludf.DUMMYFUNCTION("IMPORTRANGE(""https://docs.google.com/spreadsheets/d/1SX6NBoVAgQJ6U1MVXOaj8PK2l7WJ3RER9xtqwdhxkhw/edit?usp=sharing"",""ฉะเชิงเทรา!J44"")"),4)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IFERROR(__xludf.DUMMYFUNCTION("IMPORTRANGE(""https://docs.google.com/spreadsheets/d/1SX6NBoVAgQJ6U1MVXOaj8PK2l7WJ3RER9xtqwdhxkhw/edit?usp=sharing"",""ฉะเชิงเทรา!I45"")"),4)</f>
        <v>4</v>
      </c>
      <c r="J110" s="204">
        <f ca="1">IFERROR(__xludf.DUMMYFUNCTION("IMPORTRANGE(""https://docs.google.com/spreadsheets/d/1SX6NBoVAgQJ6U1MVXOaj8PK2l7WJ3RER9xtqwdhxkhw/edit?usp=sharing"",""ฉะเชิงเทรา!J45"")"),4)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IFERROR(__xludf.DUMMYFUNCTION("IMPORTRANGE(""https://docs.google.com/spreadsheets/d/1SX6NBoVAgQJ6U1MVXOaj8PK2l7WJ3RER9xtqwdhxkhw/edit?usp=sharing"",""ฉะเชิงเทรา!I46"")"),4)</f>
        <v>4</v>
      </c>
      <c r="J111" s="204">
        <f ca="1">IFERROR(__xludf.DUMMYFUNCTION("IMPORTRANGE(""https://docs.google.com/spreadsheets/d/1SX6NBoVAgQJ6U1MVXOaj8PK2l7WJ3RER9xtqwdhxkhw/edit?usp=sharing"",""ฉะเชิงเทรา!J46"")"),4)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IFERROR(__xludf.DUMMYFUNCTION("IMPORTRANGE(""https://docs.google.com/spreadsheets/d/1SX6NBoVAgQJ6U1MVXOaj8PK2l7WJ3RER9xtqwdhxkhw/edit?usp=sharing"",""ฉะเชิงเทรา!I47"")"),4)</f>
        <v>4</v>
      </c>
      <c r="J112" s="204">
        <f ca="1">IFERROR(__xludf.DUMMYFUNCTION("IMPORTRANGE(""https://docs.google.com/spreadsheets/d/1SX6NBoVAgQJ6U1MVXOaj8PK2l7WJ3RER9xtqwdhxkhw/edit?usp=sharing"",""ฉะเชิงเทรา!J47"")"),4)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IFERROR(__xludf.DUMMYFUNCTION("IMPORTRANGE(""https://docs.google.com/spreadsheets/d/1SX6NBoVAgQJ6U1MVXOaj8PK2l7WJ3RER9xtqwdhxkhw/edit?usp=sharing"",""ฉะเชิงเทรา!I48"")"),1)</f>
        <v>1</v>
      </c>
      <c r="J113" s="204">
        <f ca="1">IFERROR(__xludf.DUMMYFUNCTION("IMPORTRANGE(""https://docs.google.com/spreadsheets/d/1SX6NBoVAgQJ6U1MVXOaj8PK2l7WJ3RER9xtqwdhxkhw/edit?usp=sharing"",""ฉะเชิงเทรา!J48"")"),1)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IFERROR(__xludf.DUMMYFUNCTION("IMPORTRANGE(""https://docs.google.com/spreadsheets/d/1SX6NBoVAgQJ6U1MVXOaj8PK2l7WJ3RER9xtqwdhxkhw/edit?usp=sharing"",""ฉะเชิงเทรา!J49"")"),0)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IFERROR(__xludf.DUMMYFUNCTION("IMPORTRANGE(""https://docs.google.com/spreadsheets/d/1SX6NBoVAgQJ6U1MVXOaj8PK2l7WJ3RER9xtqwdhxkhw/edit?usp=sharing"",""ฉะเชิงเทรา!J50"")"),0)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IFERROR(__xludf.DUMMYFUNCTION("IMPORTRANGE(""https://docs.google.com/spreadsheets/d/1SX6NBoVAgQJ6U1MVXOaj8PK2l7WJ3RER9xtqwdhxkhw/edit?usp=sharing"",""ฉะเชิงเทรา!I52"")"),20)</f>
        <v>20</v>
      </c>
      <c r="J117" s="142">
        <f ca="1">IFERROR(__xludf.DUMMYFUNCTION("IMPORTRANGE(""https://docs.google.com/spreadsheets/d/1SX6NBoVAgQJ6U1MVXOaj8PK2l7WJ3RER9xtqwdhxkhw/edit?usp=sharing"",""ฉะเชิงเทรา!J52"")"),20)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62840</v>
      </c>
      <c r="O118" s="151">
        <f t="shared" ref="O118:O120" ca="1" si="59">IF(L118&gt;0,N118*100/L118,0)</f>
        <v>76.225133430373603</v>
      </c>
      <c r="P118" s="151">
        <f t="shared" ref="P118:P120" ca="1" si="60">IF(M118&gt;0,N118*100/M118,0)</f>
        <v>76.225133430373603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62840</v>
      </c>
      <c r="O120" s="156">
        <f t="shared" ca="1" si="59"/>
        <v>76.225133430373603</v>
      </c>
      <c r="P120" s="156">
        <f t="shared" ca="1" si="60"/>
        <v>76.225133430373603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IFERROR(__xludf.DUMMYFUNCTION("IMPORTRANGE(""https://docs.google.com/spreadsheets/d/1Yj_ptqi66GCucihVvJfMjLAmec39IyEx_6qawtMGysU/edit?usp=sharing"",""สบก!BA61"")"),82440)</f>
        <v>82440</v>
      </c>
      <c r="N122" s="169">
        <f ca="1">IFERROR(__xludf.DUMMYFUNCTION("IMPORTRANGE(""https://docs.google.com/spreadsheets/d/1Yj_ptqi66GCucihVvJfMjLAmec39IyEx_6qawtMGysU/edit?usp=sharing"",""สบก!BB61"")"),62840)</f>
        <v>62840</v>
      </c>
      <c r="O122" s="169">
        <f ca="1">IF(L122&gt;0,N122*100/L122,0)</f>
        <v>76.225133430373603</v>
      </c>
      <c r="P122" s="169">
        <f ca="1">IF(M122&gt;0,N122*100/M122,0)</f>
        <v>76.225133430373603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IFERROR(__xludf.DUMMYFUNCTION("IMPORTRANGE(""https://docs.google.com/spreadsheets/d/1Yj_ptqi66GCucihVvJfMjLAmec39IyEx_6qawtMGysU/edit?usp=sharing"",""สบก!AW61"")"),0)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IFERROR(__xludf.DUMMYFUNCTION("IMPORTRANGE(""https://docs.google.com/spreadsheets/d/1Yj_ptqi66GCucihVvJfMjLAmec39IyEx_6qawtMGysU/edit?usp=sharing"",""สบก!AX61"")"),82440)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IFERROR(__xludf.DUMMYFUNCTION("IMPORTRANGE(""https://docs.google.com/spreadsheets/d/1Yj_ptqi66GCucihVvJfMjLAmec39IyEx_6qawtMGysU/edit?usp=sharing"",""สบก!AY61"")"),0)</f>
        <v>0</v>
      </c>
      <c r="M126" s="49"/>
      <c r="N126" s="49">
        <f ca="1">IFERROR(__xludf.DUMMYFUNCTION("IMPORTRANGE(""https://docs.google.com/spreadsheets/d/1Yj_ptqi66GCucihVvJfMjLAmec39IyEx_6qawtMGysU/edit?usp=sharing"",""สบก!BC61"")"),0)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243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IFERROR(__xludf.DUMMYFUNCTION("IMPORTRANGE(""https://docs.google.com/spreadsheets/d/1SX6NBoVAgQJ6U1MVXOaj8PK2l7WJ3RER9xtqwdhxkhw/edit?usp=sharing"",""ฉะเชิงเทรา!J58"")"),0)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IFERROR(__xludf.DUMMYFUNCTION("IMPORTRANGE(""https://docs.google.com/spreadsheets/d/1SX6NBoVAgQJ6U1MVXOaj8PK2l7WJ3RER9xtqwdhxkhw/edit?usp=sharing"",""ฉะเชิงเทรา!J59"")"),1)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IFERROR(__xludf.DUMMYFUNCTION("IMPORTRANGE(""https://docs.google.com/spreadsheets/d/1SX6NBoVAgQJ6U1MVXOaj8PK2l7WJ3RER9xtqwdhxkhw/edit?usp=sharing"",""ฉะเชิงเทรา!J60"")"),1)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IFERROR(__xludf.DUMMYFUNCTION("IMPORTRANGE(""https://docs.google.com/spreadsheets/d/1SX6NBoVAgQJ6U1MVXOaj8PK2l7WJ3RER9xtqwdhxkhw/edit?usp=sharing"",""ฉะเชิงเทรา!J61"")"),1)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IFERROR(__xludf.DUMMYFUNCTION("IMPORTRANGE(""https://docs.google.com/spreadsheets/d/1SX6NBoVAgQJ6U1MVXOaj8PK2l7WJ3RER9xtqwdhxkhw/edit?usp=sharing"",""ฉะเชิงเทรา!I62"")"),20)</f>
        <v>20</v>
      </c>
      <c r="J132" s="204">
        <f ca="1">IFERROR(__xludf.DUMMYFUNCTION("IMPORTRANGE(""https://docs.google.com/spreadsheets/d/1SX6NBoVAgQJ6U1MVXOaj8PK2l7WJ3RER9xtqwdhxkhw/edit?usp=sharing"",""ฉะเชิงเทรา!J62"")"),20)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IFERROR(__xludf.DUMMYFUNCTION("IMPORTRANGE(""https://docs.google.com/spreadsheets/d/1SX6NBoVAgQJ6U1MVXOaj8PK2l7WJ3RER9xtqwdhxkhw/edit?usp=sharing"",""ฉะเชิงเทรา!I63"")"),20)</f>
        <v>20</v>
      </c>
      <c r="J133" s="204">
        <f ca="1">IFERROR(__xludf.DUMMYFUNCTION("IMPORTRANGE(""https://docs.google.com/spreadsheets/d/1SX6NBoVAgQJ6U1MVXOaj8PK2l7WJ3RER9xtqwdhxkhw/edit?usp=sharing"",""ฉะเชิงเทรา!J63"")"),18)</f>
        <v>18</v>
      </c>
      <c r="K133" s="224">
        <f t="shared" ca="1" si="63"/>
        <v>90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IFERROR(__xludf.DUMMYFUNCTION("IMPORTRANGE(""https://docs.google.com/spreadsheets/d/1SX6NBoVAgQJ6U1MVXOaj8PK2l7WJ3RER9xtqwdhxkhw/edit?usp=sharing"",""ฉะเชิงเทรา!J64"")"),1)</f>
        <v>1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IFERROR(__xludf.DUMMYFUNCTION("IMPORTRANGE(""https://docs.google.com/spreadsheets/d/1SX6NBoVAgQJ6U1MVXOaj8PK2l7WJ3RER9xtqwdhxkhw/edit?usp=sharing"",""ฉะเชิงเทรา!J65"")"),0)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IFERROR(__xludf.DUMMYFUNCTION("IMPORTRANGE(""https://docs.google.com/spreadsheets/d/1SX6NBoVAgQJ6U1MVXOaj8PK2l7WJ3RER9xtqwdhxkhw/edit?usp=sharing"",""ฉะเชิงเทรา!I68"")"),95)</f>
        <v>95</v>
      </c>
      <c r="J138" s="267">
        <f ca="1">IFERROR(__xludf.DUMMYFUNCTION("IMPORTRANGE(""https://docs.google.com/spreadsheets/d/1SX6NBoVAgQJ6U1MVXOaj8PK2l7WJ3RER9xtqwdhxkhw/edit?usp=sharing"",""ฉะเชิงเทรา!J68"")"),95)</f>
        <v>95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842400</v>
      </c>
      <c r="M140" s="152">
        <f t="shared" ca="1" si="64"/>
        <v>695125</v>
      </c>
      <c r="N140" s="152">
        <f t="shared" ca="1" si="64"/>
        <v>428983.86</v>
      </c>
      <c r="O140" s="151">
        <f t="shared" ref="O140:O142" ca="1" si="65">IF(L140&gt;0,N140*100/L140,0)</f>
        <v>50.924009971509975</v>
      </c>
      <c r="P140" s="151">
        <f t="shared" ref="P140:P142" ca="1" si="66">IF(M140&gt;0,N140*100/M140,0)</f>
        <v>61.713196907031111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842400</v>
      </c>
      <c r="M142" s="157">
        <f t="shared" ca="1" si="68"/>
        <v>695125</v>
      </c>
      <c r="N142" s="157">
        <f t="shared" ca="1" si="68"/>
        <v>428983.86</v>
      </c>
      <c r="O142" s="156">
        <f t="shared" ca="1" si="65"/>
        <v>50.924009971509975</v>
      </c>
      <c r="P142" s="156">
        <f t="shared" ca="1" si="66"/>
        <v>61.713196907031111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842400</v>
      </c>
      <c r="M144" s="168">
        <f ca="1">IFERROR(__xludf.DUMMYFUNCTION("IMPORTRANGE(""https://docs.google.com/spreadsheets/d/1Yj_ptqi66GCucihVvJfMjLAmec39IyEx_6qawtMGysU/edit?usp=sharing"",""สบก!BJ61"")"),695125)</f>
        <v>695125</v>
      </c>
      <c r="N144" s="169">
        <f ca="1">IFERROR(__xludf.DUMMYFUNCTION("IMPORTRANGE(""https://docs.google.com/spreadsheets/d/1Yj_ptqi66GCucihVvJfMjLAmec39IyEx_6qawtMGysU/edit?usp=sharing"",""สบก!BK61"")"),428983.86)</f>
        <v>428983.86</v>
      </c>
      <c r="O144" s="169">
        <f ca="1">IF(L144&gt;0,N144*100/L144,0)</f>
        <v>50.924009971509975</v>
      </c>
      <c r="P144" s="169">
        <f ca="1">IF(M144&gt;0,N144*100/M144,0)</f>
        <v>61.713196907031111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IFERROR(__xludf.DUMMYFUNCTION("IMPORTRANGE(""https://docs.google.com/spreadsheets/d/1Yj_ptqi66GCucihVvJfMjLAmec39IyEx_6qawtMGysU/edit?usp=sharing"",""สบก!BF61"")"),311500)</f>
        <v>311500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IFERROR(__xludf.DUMMYFUNCTION("IMPORTRANGE(""https://docs.google.com/spreadsheets/d/1Yj_ptqi66GCucihVvJfMjLAmec39IyEx_6qawtMGysU/edit?usp=sharing"",""สบก!BG61"")"),530900)</f>
        <v>530900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IFERROR(__xludf.DUMMYFUNCTION("IMPORTRANGE(""https://docs.google.com/spreadsheets/d/1Yj_ptqi66GCucihVvJfMjLAmec39IyEx_6qawtMGysU/edit?usp=sharing"",""สบก!BH61"")"),0)</f>
        <v>0</v>
      </c>
      <c r="M148" s="49"/>
      <c r="N148" s="49">
        <f ca="1">IFERROR(__xludf.DUMMYFUNCTION("IMPORTRANGE(""https://docs.google.com/spreadsheets/d/1Yj_ptqi66GCucihVvJfMjLAmec39IyEx_6qawtMGysU/edit?usp=sharing"",""สบก!BL61"")"),0)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IFERROR(__xludf.DUMMYFUNCTION("IMPORTRANGE(""https://docs.google.com/spreadsheets/d/1SX6NBoVAgQJ6U1MVXOaj8PK2l7WJ3RER9xtqwdhxkhw/edit?usp=sharing"",""ฉะเชิงเทรา!I74"")"),4)</f>
        <v>4</v>
      </c>
      <c r="J149" s="275">
        <f ca="1">IFERROR(__xludf.DUMMYFUNCTION("IMPORTRANGE(""https://docs.google.com/spreadsheets/d/1SX6NBoVAgQJ6U1MVXOaj8PK2l7WJ3RER9xtqwdhxkhw/edit?usp=sharing"",""ฉะเชิงเทรา!J74"")"),1)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IFERROR(__xludf.DUMMYFUNCTION("IMPORTRANGE(""https://docs.google.com/spreadsheets/d/1SX6NBoVAgQJ6U1MVXOaj8PK2l7WJ3RER9xtqwdhxkhw/edit?usp=sharing"",""ฉะเชิงเทรา!J79"")"),0)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IFERROR(__xludf.DUMMYFUNCTION("IMPORTRANGE(""https://docs.google.com/spreadsheets/d/1SX6NBoVAgQJ6U1MVXOaj8PK2l7WJ3RER9xtqwdhxkhw/edit?usp=sharing"",""ฉะเชิงเทรา!J80"")"),1)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IFERROR(__xludf.DUMMYFUNCTION("IMPORTRANGE(""https://docs.google.com/spreadsheets/d/1SX6NBoVAgQJ6U1MVXOaj8PK2l7WJ3RER9xtqwdhxkhw/edit?usp=sharing"",""ฉะเชิงเทรา!J81"")"),1)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IFERROR(__xludf.DUMMYFUNCTION("IMPORTRANGE(""https://docs.google.com/spreadsheets/d/1SX6NBoVAgQJ6U1MVXOaj8PK2l7WJ3RER9xtqwdhxkhw/edit?usp=sharing"",""ฉะเชิงเทรา!J82"")"),1)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IFERROR(__xludf.DUMMYFUNCTION("IMPORTRANGE(""https://docs.google.com/spreadsheets/d/1SX6NBoVAgQJ6U1MVXOaj8PK2l7WJ3RER9xtqwdhxkhw/edit?usp=sharing"",""ฉะเชิงเทรา!I83"")"),4)</f>
        <v>4</v>
      </c>
      <c r="J158" s="189">
        <f ca="1">IFERROR(__xludf.DUMMYFUNCTION("IMPORTRANGE(""https://docs.google.com/spreadsheets/d/1SX6NBoVAgQJ6U1MVXOaj8PK2l7WJ3RER9xtqwdhxkhw/edit?usp=sharing"",""ฉะเชิงเทรา!J83"")"),1)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IFERROR(__xludf.DUMMYFUNCTION("IMPORTRANGE(""https://docs.google.com/spreadsheets/d/1SX6NBoVAgQJ6U1MVXOaj8PK2l7WJ3RER9xtqwdhxkhw/edit?usp=sharing"",""ฉะเชิงเทรา!J84"")"),51)</f>
        <v>51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IFERROR(__xludf.DUMMYFUNCTION("IMPORTRANGE(""https://docs.google.com/spreadsheets/d/1SX6NBoVAgQJ6U1MVXOaj8PK2l7WJ3RER9xtqwdhxkhw/edit?usp=sharing"",""ฉะเชิงเทรา!J85"")"),51)</f>
        <v>51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IFERROR(__xludf.DUMMYFUNCTION("IMPORTRANGE(""https://docs.google.com/spreadsheets/d/1SX6NBoVAgQJ6U1MVXOaj8PK2l7WJ3RER9xtqwdhxkhw/edit?usp=sharing"",""ฉะเชิงเทรา!J86"")"),0)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IFERROR(__xludf.DUMMYFUNCTION("IMPORTRANGE(""https://docs.google.com/spreadsheets/d/1SX6NBoVAgQJ6U1MVXOaj8PK2l7WJ3RER9xtqwdhxkhw/edit?usp=sharing"",""ฉะเชิงเทรา!J87"")"),0)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IFERROR(__xludf.DUMMYFUNCTION("IMPORTRANGE(""https://docs.google.com/spreadsheets/d/1SX6NBoVAgQJ6U1MVXOaj8PK2l7WJ3RER9xtqwdhxkhw/edit?usp=sharing"",""ฉะเชิงเทรา!J88"")"),0)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IFERROR(__xludf.DUMMYFUNCTION("IMPORTRANGE(""https://docs.google.com/spreadsheets/d/1SX6NBoVAgQJ6U1MVXOaj8PK2l7WJ3RER9xtqwdhxkhw/edit?usp=sharing"",""ฉะเชิงเทรา!I89"")"),4)</f>
        <v>4</v>
      </c>
      <c r="J164" s="284">
        <f ca="1">IFERROR(__xludf.DUMMYFUNCTION("IMPORTRANGE(""https://docs.google.com/spreadsheets/d/1SX6NBoVAgQJ6U1MVXOaj8PK2l7WJ3RER9xtqwdhxkhw/edit?usp=sharing"",""ฉะเชิงเทรา!J89"")"),4)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IFERROR(__xludf.DUMMYFUNCTION("IMPORTRANGE(""https://docs.google.com/spreadsheets/d/1SX6NBoVAgQJ6U1MVXOaj8PK2l7WJ3RER9xtqwdhxkhw/edit?usp=sharing"",""ฉะเชิงเทรา!J94"")"),0)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IFERROR(__xludf.DUMMYFUNCTION("IMPORTRANGE(""https://docs.google.com/spreadsheets/d/1SX6NBoVAgQJ6U1MVXOaj8PK2l7WJ3RER9xtqwdhxkhw/edit?usp=sharing"",""ฉะเชิงเทรา!J95"")"),1)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IFERROR(__xludf.DUMMYFUNCTION("IMPORTRANGE(""https://docs.google.com/spreadsheets/d/1SX6NBoVAgQJ6U1MVXOaj8PK2l7WJ3RER9xtqwdhxkhw/edit?usp=sharing"",""ฉะเชิงเทรา!J96"")"),1)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IFERROR(__xludf.DUMMYFUNCTION("IMPORTRANGE(""https://docs.google.com/spreadsheets/d/1SX6NBoVAgQJ6U1MVXOaj8PK2l7WJ3RER9xtqwdhxkhw/edit?usp=sharing"",""ฉะเชิงเทรา!J97"")"),1)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IFERROR(__xludf.DUMMYFUNCTION("IMPORTRANGE(""https://docs.google.com/spreadsheets/d/1SX6NBoVAgQJ6U1MVXOaj8PK2l7WJ3RER9xtqwdhxkhw/edit?usp=sharing"",""ฉะเชิงเทรา!I98"")"),4)</f>
        <v>4</v>
      </c>
      <c r="J173" s="189">
        <f ca="1">IFERROR(__xludf.DUMMYFUNCTION("IMPORTRANGE(""https://docs.google.com/spreadsheets/d/1SX6NBoVAgQJ6U1MVXOaj8PK2l7WJ3RER9xtqwdhxkhw/edit?usp=sharing"",""ฉะเชิงเทรา!J98"")"),4)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IFERROR(__xludf.DUMMYFUNCTION("IMPORTRANGE(""https://docs.google.com/spreadsheets/d/1SX6NBoVAgQJ6U1MVXOaj8PK2l7WJ3RER9xtqwdhxkhw/edit?usp=sharing"",""ฉะเชิงเทรา!J99"")"),1)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IFERROR(__xludf.DUMMYFUNCTION("IMPORTRANGE(""https://docs.google.com/spreadsheets/d/1SX6NBoVAgQJ6U1MVXOaj8PK2l7WJ3RER9xtqwdhxkhw/edit?usp=sharing"",""ฉะเชิงเทรา!J100"")"),0)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IFERROR(__xludf.DUMMYFUNCTION("IMPORTRANGE(""https://docs.google.com/spreadsheets/d/1SX6NBoVAgQJ6U1MVXOaj8PK2l7WJ3RER9xtqwdhxkhw/edit?usp=sharing"",""ฉะเชิงเทรา!I101"")"),3)</f>
        <v>3</v>
      </c>
      <c r="J176" s="284">
        <f ca="1">IFERROR(__xludf.DUMMYFUNCTION("IMPORTRANGE(""https://docs.google.com/spreadsheets/d/1SX6NBoVAgQJ6U1MVXOaj8PK2l7WJ3RER9xtqwdhxkhw/edit?usp=sharing"",""ฉะเชิงเทรา!J101"")"),3)</f>
        <v>3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IFERROR(__xludf.DUMMYFUNCTION("IMPORTRANGE(""https://docs.google.com/spreadsheets/d/1SX6NBoVAgQJ6U1MVXOaj8PK2l7WJ3RER9xtqwdhxkhw/edit?usp=sharing"",""ฉะเชิงเทรา!J106"")"),0)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IFERROR(__xludf.DUMMYFUNCTION("IMPORTRANGE(""https://docs.google.com/spreadsheets/d/1SX6NBoVAgQJ6U1MVXOaj8PK2l7WJ3RER9xtqwdhxkhw/edit?usp=sharing"",""ฉะเชิงเทรา!J107"")"),1)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IFERROR(__xludf.DUMMYFUNCTION("IMPORTRANGE(""https://docs.google.com/spreadsheets/d/1SX6NBoVAgQJ6U1MVXOaj8PK2l7WJ3RER9xtqwdhxkhw/edit?usp=sharing"",""ฉะเชิงเทรา!J108"")"),1)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IFERROR(__xludf.DUMMYFUNCTION("IMPORTRANGE(""https://docs.google.com/spreadsheets/d/1SX6NBoVAgQJ6U1MVXOaj8PK2l7WJ3RER9xtqwdhxkhw/edit?usp=sharing"",""ฉะเชิงเทรา!J109"")"),1)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IFERROR(__xludf.DUMMYFUNCTION("IMPORTRANGE(""https://docs.google.com/spreadsheets/d/1SX6NBoVAgQJ6U1MVXOaj8PK2l7WJ3RER9xtqwdhxkhw/edit?usp=sharing"",""ฉะเชิงเทรา!I110"")"),3)</f>
        <v>3</v>
      </c>
      <c r="J185" s="204">
        <f ca="1">IFERROR(__xludf.DUMMYFUNCTION("IMPORTRANGE(""https://docs.google.com/spreadsheets/d/1SX6NBoVAgQJ6U1MVXOaj8PK2l7WJ3RER9xtqwdhxkhw/edit?usp=sharing"",""ฉะเชิงเทรา!J110"")"),0)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IFERROR(__xludf.DUMMYFUNCTION("IMPORTRANGE(""https://docs.google.com/spreadsheets/d/1SX6NBoVAgQJ6U1MVXOaj8PK2l7WJ3RER9xtqwdhxkhw/edit?usp=sharing"",""ฉะเชิงเทรา!I111"")"),3)</f>
        <v>3</v>
      </c>
      <c r="J186" s="204">
        <f ca="1">IFERROR(__xludf.DUMMYFUNCTION("IMPORTRANGE(""https://docs.google.com/spreadsheets/d/1SX6NBoVAgQJ6U1MVXOaj8PK2l7WJ3RER9xtqwdhxkhw/edit?usp=sharing"",""ฉะเชิงเทรา!J111"")"),3)</f>
        <v>3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IFERROR(__xludf.DUMMYFUNCTION("IMPORTRANGE(""https://docs.google.com/spreadsheets/d/1SX6NBoVAgQJ6U1MVXOaj8PK2l7WJ3RER9xtqwdhxkhw/edit?usp=sharing"",""ฉะเชิงเทรา!J112"")"),0)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IFERROR(__xludf.DUMMYFUNCTION("IMPORTRANGE(""https://docs.google.com/spreadsheets/d/1SX6NBoVAgQJ6U1MVXOaj8PK2l7WJ3RER9xtqwdhxkhw/edit?usp=sharing"",""ฉะเชิงเทรา!J113"")"),0)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IFERROR(__xludf.DUMMYFUNCTION("IMPORTRANGE(""https://docs.google.com/spreadsheets/d/1SX6NBoVAgQJ6U1MVXOaj8PK2l7WJ3RER9xtqwdhxkhw/edit?usp=sharing"",""ฉะเชิงเทรา!I114"")"),40000)</f>
        <v>40000</v>
      </c>
      <c r="J189" s="284">
        <f ca="1">IFERROR(__xludf.DUMMYFUNCTION("IMPORTRANGE(""https://docs.google.com/spreadsheets/d/1SX6NBoVAgQJ6U1MVXOaj8PK2l7WJ3RER9xtqwdhxkhw/edit?usp=sharing"",""ฉะเชิงเทรา!J114"")"),0)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IFERROR(__xludf.DUMMYFUNCTION("IMPORTRANGE(""https://docs.google.com/spreadsheets/d/1SX6NBoVAgQJ6U1MVXOaj8PK2l7WJ3RER9xtqwdhxkhw/edit?usp=sharing"",""ฉะเชิงเทรา!J119"")"),0)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IFERROR(__xludf.DUMMYFUNCTION("IMPORTRANGE(""https://docs.google.com/spreadsheets/d/1SX6NBoVAgQJ6U1MVXOaj8PK2l7WJ3RER9xtqwdhxkhw/edit?usp=sharing"",""ฉะเชิงเทรา!J120"")"),1)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IFERROR(__xludf.DUMMYFUNCTION("IMPORTRANGE(""https://docs.google.com/spreadsheets/d/1SX6NBoVAgQJ6U1MVXOaj8PK2l7WJ3RER9xtqwdhxkhw/edit?usp=sharing"",""ฉะเชิงเทรา!J121"")"),1)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IFERROR(__xludf.DUMMYFUNCTION("IMPORTRANGE(""https://docs.google.com/spreadsheets/d/1SX6NBoVAgQJ6U1MVXOaj8PK2l7WJ3RER9xtqwdhxkhw/edit?usp=sharing"",""ฉะเชิงเทรา!J122"")"),1)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IFERROR(__xludf.DUMMYFUNCTION("IMPORTRANGE(""https://docs.google.com/spreadsheets/d/1SX6NBoVAgQJ6U1MVXOaj8PK2l7WJ3RER9xtqwdhxkhw/edit?usp=sharing"",""ฉะเชิงเทรา!I124"")"),40000)</f>
        <v>40000</v>
      </c>
      <c r="J199" s="189">
        <f ca="1">IFERROR(__xludf.DUMMYFUNCTION("IMPORTRANGE(""https://docs.google.com/spreadsheets/d/1SX6NBoVAgQJ6U1MVXOaj8PK2l7WJ3RER9xtqwdhxkhw/edit?usp=sharing"",""ฉะเชิงเทรา!J124"")"),40000)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IFERROR(__xludf.DUMMYFUNCTION("IMPORTRANGE(""https://docs.google.com/spreadsheets/d/1SX6NBoVAgQJ6U1MVXOaj8PK2l7WJ3RER9xtqwdhxkhw/edit?usp=sharing"",""ฉะเชิงเทรา!I125"")"),40000)</f>
        <v>40000</v>
      </c>
      <c r="J200" s="189">
        <f ca="1">IFERROR(__xludf.DUMMYFUNCTION("IMPORTRANGE(""https://docs.google.com/spreadsheets/d/1SX6NBoVAgQJ6U1MVXOaj8PK2l7WJ3RER9xtqwdhxkhw/edit?usp=sharing"",""ฉะเชิงเทรา!J125"")"),0)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IFERROR(__xludf.DUMMYFUNCTION("IMPORTRANGE(""https://docs.google.com/spreadsheets/d/1SX6NBoVAgQJ6U1MVXOaj8PK2l7WJ3RER9xtqwdhxkhw/edit?usp=sharing"",""ฉะเชิงเทรา!I126"")"),15)</f>
        <v>15</v>
      </c>
      <c r="J201" s="189">
        <f ca="1">IFERROR(__xludf.DUMMYFUNCTION("IMPORTRANGE(""https://docs.google.com/spreadsheets/d/1SX6NBoVAgQJ6U1MVXOaj8PK2l7WJ3RER9xtqwdhxkhw/edit?usp=sharing"",""ฉะเชิงเทรา!J126"")"),15)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IFERROR(__xludf.DUMMYFUNCTION("IMPORTRANGE(""https://docs.google.com/spreadsheets/d/1SX6NBoVAgQJ6U1MVXOaj8PK2l7WJ3RER9xtqwdhxkhw/edit?usp=sharing"",""ฉะเชิงเทรา!J127"")"),0)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IFERROR(__xludf.DUMMYFUNCTION("IMPORTRANGE(""https://docs.google.com/spreadsheets/d/1SX6NBoVAgQJ6U1MVXOaj8PK2l7WJ3RER9xtqwdhxkhw/edit?usp=sharing"",""ฉะเชิงเทรา!J128"")"),0)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IFERROR(__xludf.DUMMYFUNCTION("IMPORTRANGE(""https://docs.google.com/spreadsheets/d/1SX6NBoVAgQJ6U1MVXOaj8PK2l7WJ3RER9xtqwdhxkhw/edit?usp=sharing"",""ฉะเชิงเทรา!I129"")"),80)</f>
        <v>80</v>
      </c>
      <c r="J204" s="284">
        <f ca="1">IFERROR(__xludf.DUMMYFUNCTION("IMPORTRANGE(""https://docs.google.com/spreadsheets/d/1SX6NBoVAgQJ6U1MVXOaj8PK2l7WJ3RER9xtqwdhxkhw/edit?usp=sharing"",""ฉะเชิงเทรา!J129"")"),80)</f>
        <v>80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IFERROR(__xludf.DUMMYFUNCTION("IMPORTRANGE(""https://docs.google.com/spreadsheets/d/1SX6NBoVAgQJ6U1MVXOaj8PK2l7WJ3RER9xtqwdhxkhw/edit?usp=sharing"",""ฉะเชิงเทรา!J134"")"),0)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IFERROR(__xludf.DUMMYFUNCTION("IMPORTRANGE(""https://docs.google.com/spreadsheets/d/1SX6NBoVAgQJ6U1MVXOaj8PK2l7WJ3RER9xtqwdhxkhw/edit?usp=sharing"",""ฉะเชิงเทรา!J135"")"),1)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IFERROR(__xludf.DUMMYFUNCTION("IMPORTRANGE(""https://docs.google.com/spreadsheets/d/1SX6NBoVAgQJ6U1MVXOaj8PK2l7WJ3RER9xtqwdhxkhw/edit?usp=sharing"",""ฉะเชิงเทรา!J136"")"),1)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IFERROR(__xludf.DUMMYFUNCTION("IMPORTRANGE(""https://docs.google.com/spreadsheets/d/1SX6NBoVAgQJ6U1MVXOaj8PK2l7WJ3RER9xtqwdhxkhw/edit?usp=sharing"",""ฉะเชิงเทรา!J137"")"),1)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IFERROR(__xludf.DUMMYFUNCTION("IMPORTRANGE(""https://docs.google.com/spreadsheets/d/1SX6NBoVAgQJ6U1MVXOaj8PK2l7WJ3RER9xtqwdhxkhw/edit?usp=sharing"",""ฉะเชิงเทรา!I138"")"),80)</f>
        <v>80</v>
      </c>
      <c r="J213" s="204">
        <f ca="1">IFERROR(__xludf.DUMMYFUNCTION("IMPORTRANGE(""https://docs.google.com/spreadsheets/d/1SX6NBoVAgQJ6U1MVXOaj8PK2l7WJ3RER9xtqwdhxkhw/edit?usp=sharing"",""ฉะเชิงเทรา!J138"")"),80)</f>
        <v>80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IFERROR(__xludf.DUMMYFUNCTION("IMPORTRANGE(""https://docs.google.com/spreadsheets/d/1SX6NBoVAgQJ6U1MVXOaj8PK2l7WJ3RER9xtqwdhxkhw/edit?usp=sharing"",""ฉะเชิงเทรา!I140"")"),40)</f>
        <v>40</v>
      </c>
      <c r="J215" s="204">
        <f ca="1">IFERROR(__xludf.DUMMYFUNCTION("IMPORTRANGE(""https://docs.google.com/spreadsheets/d/1SX6NBoVAgQJ6U1MVXOaj8PK2l7WJ3RER9xtqwdhxkhw/edit?usp=sharing"",""ฉะเชิงเทรา!J140"")"),0)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IFERROR(__xludf.DUMMYFUNCTION("IMPORTRANGE(""https://docs.google.com/spreadsheets/d/1SX6NBoVAgQJ6U1MVXOaj8PK2l7WJ3RER9xtqwdhxkhw/edit?usp=sharing"",""ฉะเชิงเทรา!I141"")"),1)</f>
        <v>1</v>
      </c>
      <c r="J216" s="204">
        <f ca="1">IFERROR(__xludf.DUMMYFUNCTION("IMPORTRANGE(""https://docs.google.com/spreadsheets/d/1SX6NBoVAgQJ6U1MVXOaj8PK2l7WJ3RER9xtqwdhxkhw/edit?usp=sharing"",""ฉะเชิงเทรา!J141"")"),0)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IFERROR(__xludf.DUMMYFUNCTION("IMPORTRANGE(""https://docs.google.com/spreadsheets/d/1SX6NBoVAgQJ6U1MVXOaj8PK2l7WJ3RER9xtqwdhxkhw/edit?usp=sharing"",""ฉะเชิงเทรา!J142"")"),0)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IFERROR(__xludf.DUMMYFUNCTION("IMPORTRANGE(""https://docs.google.com/spreadsheets/d/1SX6NBoVAgQJ6U1MVXOaj8PK2l7WJ3RER9xtqwdhxkhw/edit?usp=sharing"",""ฉะเชิงเทรา!J143"")"),0)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IFERROR(__xludf.DUMMYFUNCTION("IMPORTRANGE(""https://docs.google.com/spreadsheets/d/1SX6NBoVAgQJ6U1MVXOaj8PK2l7WJ3RER9xtqwdhxkhw/edit?usp=sharing"",""ฉะเชิงเทรา!I144"")"),15)</f>
        <v>15</v>
      </c>
      <c r="J219" s="267">
        <f ca="1">IFERROR(__xludf.DUMMYFUNCTION("IMPORTRANGE(""https://docs.google.com/spreadsheets/d/1SX6NBoVAgQJ6U1MVXOaj8PK2l7WJ3RER9xtqwdhxkhw/edit?usp=sharing"",""ฉะเชิงเทรา!J144"")"),15)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IFERROR(__xludf.DUMMYFUNCTION("IMPORTRANGE(""https://docs.google.com/spreadsheets/d/1Yj_ptqi66GCucihVvJfMjLAmec39IyEx_6qawtMGysU/edit?usp=sharing"",""สบก!BS61"")"),21125)</f>
        <v>21125</v>
      </c>
      <c r="N224" s="169">
        <f ca="1">IFERROR(__xludf.DUMMYFUNCTION("IMPORTRANGE(""https://docs.google.com/spreadsheets/d/1Yj_ptqi66GCucihVvJfMjLAmec39IyEx_6qawtMGysU/edit?usp=sharing"",""สบก!BT61"")"),21125)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IFERROR(__xludf.DUMMYFUNCTION("IMPORTRANGE(""https://docs.google.com/spreadsheets/d/1Yj_ptqi66GCucihVvJfMjLAmec39IyEx_6qawtMGysU/edit?usp=sharing"",""สบก!BO61"")"),0)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IFERROR(__xludf.DUMMYFUNCTION("IMPORTRANGE(""https://docs.google.com/spreadsheets/d/1Yj_ptqi66GCucihVvJfMjLAmec39IyEx_6qawtMGysU/edit?usp=sharing"",""สบก!BP61"")"),21125)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IFERROR(__xludf.DUMMYFUNCTION("IMPORTRANGE(""https://docs.google.com/spreadsheets/d/1Yj_ptqi66GCucihVvJfMjLAmec39IyEx_6qawtMGysU/edit?usp=sharing"",""สบก!BQ61"")"),0)</f>
        <v>0</v>
      </c>
      <c r="M228" s="49"/>
      <c r="N228" s="49">
        <f ca="1">IFERROR(__xludf.DUMMYFUNCTION("IMPORTRANGE(""https://docs.google.com/spreadsheets/d/1Yj_ptqi66GCucihVvJfMjLAmec39IyEx_6qawtMGysU/edit?usp=sharing"",""สบก!BU61"")"),0)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IFERROR(__xludf.DUMMYFUNCTION("IMPORTRANGE(""https://docs.google.com/spreadsheets/d/1SX6NBoVAgQJ6U1MVXOaj8PK2l7WJ3RER9xtqwdhxkhw/edit?usp=sharing"",""ฉะเชิงเทรา!I149"")"),15)</f>
        <v>15</v>
      </c>
      <c r="J229" s="267">
        <f ca="1">IFERROR(__xludf.DUMMYFUNCTION("IMPORTRANGE(""https://docs.google.com/spreadsheets/d/1SX6NBoVAgQJ6U1MVXOaj8PK2l7WJ3RER9xtqwdhxkhw/edit?usp=sharing"",""ฉะเชิงเทรา!J149"")"),15)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IFERROR(__xludf.DUMMYFUNCTION("IMPORTRANGE(""https://docs.google.com/spreadsheets/d/1SX6NBoVAgQJ6U1MVXOaj8PK2l7WJ3RER9xtqwdhxkhw/edit?usp=sharing"",""ฉะเชิงเทรา!J151"")"),0)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IFERROR(__xludf.DUMMYFUNCTION("IMPORTRANGE(""https://docs.google.com/spreadsheets/d/1SX6NBoVAgQJ6U1MVXOaj8PK2l7WJ3RER9xtqwdhxkhw/edit?usp=sharing"",""ฉะเชิงเทรา!J152"")"),1)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IFERROR(__xludf.DUMMYFUNCTION("IMPORTRANGE(""https://docs.google.com/spreadsheets/d/1SX6NBoVAgQJ6U1MVXOaj8PK2l7WJ3RER9xtqwdhxkhw/edit?usp=sharing"",""ฉะเชิงเทรา!J153"")"),1)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IFERROR(__xludf.DUMMYFUNCTION("IMPORTRANGE(""https://docs.google.com/spreadsheets/d/1SX6NBoVAgQJ6U1MVXOaj8PK2l7WJ3RER9xtqwdhxkhw/edit?usp=sharing"",""ฉะเชิงเทรา!J154"")"),1)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IFERROR(__xludf.DUMMYFUNCTION("IMPORTRANGE(""https://docs.google.com/spreadsheets/d/1SX6NBoVAgQJ6U1MVXOaj8PK2l7WJ3RER9xtqwdhxkhw/edit?usp=sharing"",""ฉะเชิงเทรา!I155"")"),15)</f>
        <v>15</v>
      </c>
      <c r="J235" s="189">
        <f ca="1">IFERROR(__xludf.DUMMYFUNCTION("IMPORTRANGE(""https://docs.google.com/spreadsheets/d/1SX6NBoVAgQJ6U1MVXOaj8PK2l7WJ3RER9xtqwdhxkhw/edit?usp=sharing"",""ฉะเชิงเทรา!J155"")"),15)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IFERROR(__xludf.DUMMYFUNCTION("IMPORTRANGE(""https://docs.google.com/spreadsheets/d/1SX6NBoVAgQJ6U1MVXOaj8PK2l7WJ3RER9xtqwdhxkhw/edit?usp=sharing"",""ฉะเชิงเทรา!J156"")"),0)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IFERROR(__xludf.DUMMYFUNCTION("IMPORTRANGE(""https://docs.google.com/spreadsheets/d/1SX6NBoVAgQJ6U1MVXOaj8PK2l7WJ3RER9xtqwdhxkhw/edit?usp=sharing"",""ฉะเชิงเทรา!J157"")"),0)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IFERROR(__xludf.DUMMYFUNCTION("IMPORTRANGE(""https://docs.google.com/spreadsheets/d/1SX6NBoVAgQJ6U1MVXOaj8PK2l7WJ3RER9xtqwdhxkhw/edit?usp=sharing"",""ฉะเชิงเทรา!I158"")"),0)</f>
        <v>0</v>
      </c>
      <c r="J238" s="267">
        <f ca="1">IFERROR(__xludf.DUMMYFUNCTION("IMPORTRANGE(""https://docs.google.com/spreadsheets/d/1SX6NBoVAgQJ6U1MVXOaj8PK2l7WJ3RER9xtqwdhxkhw/edit?usp=sharing"",""ฉะเชิงเทรา!J158"")"),0)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IFERROR(__xludf.DUMMYFUNCTION("IMPORTRANGE(""https://docs.google.com/spreadsheets/d/1SX6NBoVAgQJ6U1MVXOaj8PK2l7WJ3RER9xtqwdhxkhw/edit?usp=sharing"",""ฉะเชิงเทรา!J159"")"),"")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IFERROR(__xludf.DUMMYFUNCTION("IMPORTRANGE(""https://docs.google.com/spreadsheets/d/1SX6NBoVAgQJ6U1MVXOaj8PK2l7WJ3RER9xtqwdhxkhw/edit?usp=sharing"",""ฉะเชิงเทรา!J161"")"),0)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IFERROR(__xludf.DUMMYFUNCTION("IMPORTRANGE(""https://docs.google.com/spreadsheets/d/1SX6NBoVAgQJ6U1MVXOaj8PK2l7WJ3RER9xtqwdhxkhw/edit?usp=sharing"",""ฉะเชิงเทรา!J162"")"),0)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IFERROR(__xludf.DUMMYFUNCTION("IMPORTRANGE(""https://docs.google.com/spreadsheets/d/1SX6NBoVAgQJ6U1MVXOaj8PK2l7WJ3RER9xtqwdhxkhw/edit?usp=sharing"",""ฉะเชิงเทรา!J163"")"),0)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IFERROR(__xludf.DUMMYFUNCTION("IMPORTRANGE(""https://docs.google.com/spreadsheets/d/1SX6NBoVAgQJ6U1MVXOaj8PK2l7WJ3RER9xtqwdhxkhw/edit?usp=sharing"",""ฉะเชิงเทรา!I164"")"),0)</f>
        <v>0</v>
      </c>
      <c r="J244" s="188">
        <f ca="1">IFERROR(__xludf.DUMMYFUNCTION("IMPORTRANGE(""https://docs.google.com/spreadsheets/d/1SX6NBoVAgQJ6U1MVXOaj8PK2l7WJ3RER9xtqwdhxkhw/edit?usp=sharing"",""ฉะเชิงเทรา!J164"")"),0)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IFERROR(__xludf.DUMMYFUNCTION("IMPORTRANGE(""https://docs.google.com/spreadsheets/d/1SX6NBoVAgQJ6U1MVXOaj8PK2l7WJ3RER9xtqwdhxkhw/edit?usp=sharing"",""ฉะเชิงเทรา!J165"")"),0)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IFERROR(__xludf.DUMMYFUNCTION("IMPORTRANGE(""https://docs.google.com/spreadsheets/d/1SX6NBoVAgQJ6U1MVXOaj8PK2l7WJ3RER9xtqwdhxkhw/edit?usp=sharing"",""ฉะเชิงเทรา!J166"")"),0)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IFERROR(__xludf.DUMMYFUNCTION("IMPORTRANGE(""https://docs.google.com/spreadsheets/d/1SX6NBoVAgQJ6U1MVXOaj8PK2l7WJ3RER9xtqwdhxkhw/edit?usp=sharing"",""ฉะเชิงเทรา!I169"")"),20)</f>
        <v>20</v>
      </c>
      <c r="J249" s="316">
        <f ca="1">IFERROR(__xludf.DUMMYFUNCTION("IMPORTRANGE(""https://docs.google.com/spreadsheets/d/1SX6NBoVAgQJ6U1MVXOaj8PK2l7WJ3RER9xtqwdhxkhw/edit?usp=sharing"",""ฉะเชิงเทรา!J169"")"),20)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36470</v>
      </c>
      <c r="O250" s="151">
        <f t="shared" ref="O250:O252" ca="1" si="78">IF(L250&gt;0,N250*100/L250,0)</f>
        <v>51.078431372549019</v>
      </c>
      <c r="P250" s="151">
        <f t="shared" ref="P250:P252" ca="1" si="79">IF(M250&gt;0,N250*100/M250,0)</f>
        <v>86.833333333333329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36470</v>
      </c>
      <c r="O252" s="156">
        <f t="shared" ca="1" si="78"/>
        <v>51.078431372549019</v>
      </c>
      <c r="P252" s="156">
        <f t="shared" ca="1" si="79"/>
        <v>86.833333333333329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IFERROR(__xludf.DUMMYFUNCTION("IMPORTRANGE(""https://docs.google.com/spreadsheets/d/1Yj_ptqi66GCucihVvJfMjLAmec39IyEx_6qawtMGysU/edit?usp=sharing"",""สบก!CB61"")"),42000)</f>
        <v>42000</v>
      </c>
      <c r="N254" s="169">
        <f ca="1">IFERROR(__xludf.DUMMYFUNCTION("IMPORTRANGE(""https://docs.google.com/spreadsheets/d/1Yj_ptqi66GCucihVvJfMjLAmec39IyEx_6qawtMGysU/edit?usp=sharing"",""สบก!CC61"")"),36470)</f>
        <v>36470</v>
      </c>
      <c r="O254" s="169">
        <f ca="1">IF(L254&gt;0,N254*100/L254,0)</f>
        <v>51.078431372549019</v>
      </c>
      <c r="P254" s="169">
        <f ca="1">IF(M254&gt;0,N254*100/M254,0)</f>
        <v>86.833333333333329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IFERROR(__xludf.DUMMYFUNCTION("IMPORTRANGE(""https://docs.google.com/spreadsheets/d/1Yj_ptqi66GCucihVvJfMjLAmec39IyEx_6qawtMGysU/edit?usp=sharing"",""สบก!BX61"")"),0)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IFERROR(__xludf.DUMMYFUNCTION("IMPORTRANGE(""https://docs.google.com/spreadsheets/d/1Yj_ptqi66GCucihVvJfMjLAmec39IyEx_6qawtMGysU/edit?usp=sharing"",""สบก!BY61"")"),71400)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IFERROR(__xludf.DUMMYFUNCTION("IMPORTRANGE(""https://docs.google.com/spreadsheets/d/1Yj_ptqi66GCucihVvJfMjLAmec39IyEx_6qawtMGysU/edit?usp=sharing"",""สบก!BZ61"")"),0)</f>
        <v>0</v>
      </c>
      <c r="M258" s="49"/>
      <c r="N258" s="49">
        <f ca="1">IFERROR(__xludf.DUMMYFUNCTION("IMPORTRANGE(""https://docs.google.com/spreadsheets/d/1Yj_ptqi66GCucihVvJfMjLAmec39IyEx_6qawtMGysU/edit?usp=sharing"",""สบก!CD61"")"),0)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IFERROR(__xludf.DUMMYFUNCTION("IMPORTRANGE(""https://docs.google.com/spreadsheets/d/1SX6NBoVAgQJ6U1MVXOaj8PK2l7WJ3RER9xtqwdhxkhw/edit?usp=sharing"",""ฉะเชิงเทรา!J175"")"),0)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IFERROR(__xludf.DUMMYFUNCTION("IMPORTRANGE(""https://docs.google.com/spreadsheets/d/1SX6NBoVAgQJ6U1MVXOaj8PK2l7WJ3RER9xtqwdhxkhw/edit?usp=sharing"",""ฉะเชิงเทรา!J176"")"),1)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IFERROR(__xludf.DUMMYFUNCTION("IMPORTRANGE(""https://docs.google.com/spreadsheets/d/1SX6NBoVAgQJ6U1MVXOaj8PK2l7WJ3RER9xtqwdhxkhw/edit?usp=sharing"",""ฉะเชิงเทรา!J177"")"),1)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IFERROR(__xludf.DUMMYFUNCTION("IMPORTRANGE(""https://docs.google.com/spreadsheets/d/1SX6NBoVAgQJ6U1MVXOaj8PK2l7WJ3RER9xtqwdhxkhw/edit?usp=sharing"",""ฉะเชิงเทรา!J178"")"),1)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IFERROR(__xludf.DUMMYFUNCTION("IMPORTRANGE(""https://docs.google.com/spreadsheets/d/1SX6NBoVAgQJ6U1MVXOaj8PK2l7WJ3RER9xtqwdhxkhw/edit?usp=sharing"",""ฉะเชิงเทรา!I179"")"),1)</f>
        <v>1</v>
      </c>
      <c r="J264" s="189">
        <f ca="1">IFERROR(__xludf.DUMMYFUNCTION("IMPORTRANGE(""https://docs.google.com/spreadsheets/d/1SX6NBoVAgQJ6U1MVXOaj8PK2l7WJ3RER9xtqwdhxkhw/edit?usp=sharing"",""ฉะเชิงเทรา!J179"")"),1)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IFERROR(__xludf.DUMMYFUNCTION("IMPORTRANGE(""https://docs.google.com/spreadsheets/d/1SX6NBoVAgQJ6U1MVXOaj8PK2l7WJ3RER9xtqwdhxkhw/edit?usp=sharing"",""ฉะเชิงเทรา!I180"")"),20)</f>
        <v>20</v>
      </c>
      <c r="J265" s="189">
        <f ca="1">IFERROR(__xludf.DUMMYFUNCTION("IMPORTRANGE(""https://docs.google.com/spreadsheets/d/1SX6NBoVAgQJ6U1MVXOaj8PK2l7WJ3RER9xtqwdhxkhw/edit?usp=sharing"",""ฉะเชิงเทรา!J180"")"),20)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IFERROR(__xludf.DUMMYFUNCTION("IMPORTRANGE(""https://docs.google.com/spreadsheets/d/1SX6NBoVAgQJ6U1MVXOaj8PK2l7WJ3RER9xtqwdhxkhw/edit?usp=sharing"",""ฉะเชิงเทรา!I181"")"),20)</f>
        <v>20</v>
      </c>
      <c r="J266" s="189">
        <f ca="1">IFERROR(__xludf.DUMMYFUNCTION("IMPORTRANGE(""https://docs.google.com/spreadsheets/d/1SX6NBoVAgQJ6U1MVXOaj8PK2l7WJ3RER9xtqwdhxkhw/edit?usp=sharing"",""ฉะเชิงเทรา!J181"")"),0)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IFERROR(__xludf.DUMMYFUNCTION("IMPORTRANGE(""https://docs.google.com/spreadsheets/d/1SX6NBoVAgQJ6U1MVXOaj8PK2l7WJ3RER9xtqwdhxkhw/edit?usp=sharing"",""ฉะเชิงเทรา!I182"")"),1)</f>
        <v>1</v>
      </c>
      <c r="J267" s="189">
        <f ca="1">IFERROR(__xludf.DUMMYFUNCTION("IMPORTRANGE(""https://docs.google.com/spreadsheets/d/1SX6NBoVAgQJ6U1MVXOaj8PK2l7WJ3RER9xtqwdhxkhw/edit?usp=sharing"",""ฉะเชิงเทรา!J182"")"),0)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IFERROR(__xludf.DUMMYFUNCTION("IMPORTRANGE(""https://docs.google.com/spreadsheets/d/1SX6NBoVAgQJ6U1MVXOaj8PK2l7WJ3RER9xtqwdhxkhw/edit?usp=sharing"",""ฉะเชิงเทรา!J183"")"),0)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IFERROR(__xludf.DUMMYFUNCTION("IMPORTRANGE(""https://docs.google.com/spreadsheets/d/1SX6NBoVAgQJ6U1MVXOaj8PK2l7WJ3RER9xtqwdhxkhw/edit?usp=sharing"",""ฉะเชิงเทรา!J184"")"),0)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IFERROR(__xludf.DUMMYFUNCTION("IMPORTRANGE(""https://docs.google.com/spreadsheets/d/1SX6NBoVAgQJ6U1MVXOaj8PK2l7WJ3RER9xtqwdhxkhw/edit?usp=sharing"",""ฉะเชิงเทรา!I185"")"),20)</f>
        <v>20</v>
      </c>
      <c r="J270" s="316">
        <f ca="1">IFERROR(__xludf.DUMMYFUNCTION("IMPORTRANGE(""https://docs.google.com/spreadsheets/d/1SX6NBoVAgQJ6U1MVXOaj8PK2l7WJ3RER9xtqwdhxkhw/edit?usp=sharing"",""ฉะเชิงเทรา!J185"")"),20)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83053.039999999994</v>
      </c>
      <c r="O271" s="151">
        <f t="shared" ref="O271:O273" ca="1" si="84">IF(L271&gt;0,N271*100/L271,0)</f>
        <v>45.2358605664488</v>
      </c>
      <c r="P271" s="151">
        <f t="shared" ref="P271:P273" ca="1" si="85">IF(M271&gt;0,N271*100/M271,0)</f>
        <v>51.39420792079207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83053.039999999994</v>
      </c>
      <c r="O273" s="156">
        <f t="shared" ca="1" si="84"/>
        <v>45.2358605664488</v>
      </c>
      <c r="P273" s="156">
        <f t="shared" ca="1" si="85"/>
        <v>51.39420792079207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IFERROR(__xludf.DUMMYFUNCTION("IMPORTRANGE(""https://docs.google.com/spreadsheets/d/1Yj_ptqi66GCucihVvJfMjLAmec39IyEx_6qawtMGysU/edit?usp=sharing"",""สบก!CK61"")"),161600)</f>
        <v>161600</v>
      </c>
      <c r="N275" s="169">
        <f ca="1">IFERROR(__xludf.DUMMYFUNCTION("IMPORTRANGE(""https://docs.google.com/spreadsheets/d/1Yj_ptqi66GCucihVvJfMjLAmec39IyEx_6qawtMGysU/edit?usp=sharing"",""สบก!CL61"")"),83053.04)</f>
        <v>83053.039999999994</v>
      </c>
      <c r="O275" s="169">
        <f ca="1">IF(L275&gt;0,N275*100/L275,0)</f>
        <v>45.2358605664488</v>
      </c>
      <c r="P275" s="169">
        <f ca="1">IF(M275&gt;0,N275*100/M275,0)</f>
        <v>51.39420792079207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IFERROR(__xludf.DUMMYFUNCTION("IMPORTRANGE(""https://docs.google.com/spreadsheets/d/1Yj_ptqi66GCucihVvJfMjLAmec39IyEx_6qawtMGysU/edit?usp=sharing"",""สบก!CG61"")"),0)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IFERROR(__xludf.DUMMYFUNCTION("IMPORTRANGE(""https://docs.google.com/spreadsheets/d/1Yj_ptqi66GCucihVvJfMjLAmec39IyEx_6qawtMGysU/edit?usp=sharing"",""สบก!CH61"")"),183600)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IFERROR(__xludf.DUMMYFUNCTION("IMPORTRANGE(""https://docs.google.com/spreadsheets/d/1Yj_ptqi66GCucihVvJfMjLAmec39IyEx_6qawtMGysU/edit?usp=sharing"",""สบก!CI61"")"),0)</f>
        <v>0</v>
      </c>
      <c r="M279" s="49"/>
      <c r="N279" s="49">
        <f ca="1">IFERROR(__xludf.DUMMYFUNCTION("IMPORTRANGE(""https://docs.google.com/spreadsheets/d/1Yj_ptqi66GCucihVvJfMjLAmec39IyEx_6qawtMGysU/edit?usp=sharing"",""สบก!CM61"")"),0)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IFERROR(__xludf.DUMMYFUNCTION("IMPORTRANGE(""https://docs.google.com/spreadsheets/d/1SX6NBoVAgQJ6U1MVXOaj8PK2l7WJ3RER9xtqwdhxkhw/edit?usp=sharing"",""ฉะเชิงเทรา!J191"")"),0)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IFERROR(__xludf.DUMMYFUNCTION("IMPORTRANGE(""https://docs.google.com/spreadsheets/d/1SX6NBoVAgQJ6U1MVXOaj8PK2l7WJ3RER9xtqwdhxkhw/edit?usp=sharing"",""ฉะเชิงเทรา!J192"")"),1)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IFERROR(__xludf.DUMMYFUNCTION("IMPORTRANGE(""https://docs.google.com/spreadsheets/d/1SX6NBoVAgQJ6U1MVXOaj8PK2l7WJ3RER9xtqwdhxkhw/edit?usp=sharing"",""ฉะเชิงเทรา!J193"")"),1)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IFERROR(__xludf.DUMMYFUNCTION("IMPORTRANGE(""https://docs.google.com/spreadsheets/d/1SX6NBoVAgQJ6U1MVXOaj8PK2l7WJ3RER9xtqwdhxkhw/edit?usp=sharing"",""ฉะเชิงเทรา!J194"")"),1)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IFERROR(__xludf.DUMMYFUNCTION("IMPORTRANGE(""https://docs.google.com/spreadsheets/d/1SX6NBoVAgQJ6U1MVXOaj8PK2l7WJ3RER9xtqwdhxkhw/edit?usp=sharing"",""ฉะเชิงเทรา!I195"")"),20)</f>
        <v>20</v>
      </c>
      <c r="J285" s="189">
        <f ca="1">IFERROR(__xludf.DUMMYFUNCTION("IMPORTRANGE(""https://docs.google.com/spreadsheets/d/1SX6NBoVAgQJ6U1MVXOaj8PK2l7WJ3RER9xtqwdhxkhw/edit?usp=sharing"",""ฉะเชิงเทรา!J195"")"),20)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IFERROR(__xludf.DUMMYFUNCTION("IMPORTRANGE(""https://docs.google.com/spreadsheets/d/1SX6NBoVAgQJ6U1MVXOaj8PK2l7WJ3RER9xtqwdhxkhw/edit?usp=sharing"",""ฉะเชิงเทรา!J196"")"),0)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IFERROR(__xludf.DUMMYFUNCTION("IMPORTRANGE(""https://docs.google.com/spreadsheets/d/1SX6NBoVAgQJ6U1MVXOaj8PK2l7WJ3RER9xtqwdhxkhw/edit?usp=sharing"",""ฉะเชิงเทรา!J197"")"),0)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IFERROR(__xludf.DUMMYFUNCTION("IMPORTRANGE(""https://docs.google.com/spreadsheets/d/1SX6NBoVAgQJ6U1MVXOaj8PK2l7WJ3RER9xtqwdhxkhw/edit?usp=sharing"",""ฉะเชิงเทรา!I199"")"),0)</f>
        <v>0</v>
      </c>
      <c r="J289" s="316">
        <f ca="1">IFERROR(__xludf.DUMMYFUNCTION("IMPORTRANGE(""https://docs.google.com/spreadsheets/d/1SX6NBoVAgQJ6U1MVXOaj8PK2l7WJ3RER9xtqwdhxkhw/edit?usp=sharing"",""ฉะเชิงเทรา!J199"")"),0)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IFERROR(__xludf.DUMMYFUNCTION("IMPORTRANGE(""https://docs.google.com/spreadsheets/d/1Yj_ptqi66GCucihVvJfMjLAmec39IyEx_6qawtMGysU/edit?usp=sharing"",""สบก!CT61"")"),0)</f>
        <v>0</v>
      </c>
      <c r="N294" s="169">
        <f ca="1">IFERROR(__xludf.DUMMYFUNCTION("IMPORTRANGE(""https://docs.google.com/spreadsheets/d/1Yj_ptqi66GCucihVvJfMjLAmec39IyEx_6qawtMGysU/edit?usp=sharing"",""สบก!CU61"")"),0)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IFERROR(__xludf.DUMMYFUNCTION("IMPORTRANGE(""https://docs.google.com/spreadsheets/d/1Yj_ptqi66GCucihVvJfMjLAmec39IyEx_6qawtMGysU/edit?usp=sharing"",""สบก!CP61"")"),0)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IFERROR(__xludf.DUMMYFUNCTION("IMPORTRANGE(""https://docs.google.com/spreadsheets/d/1Yj_ptqi66GCucihVvJfMjLAmec39IyEx_6qawtMGysU/edit?usp=sharing"",""สบก!CQ61"")"),0)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IFERROR(__xludf.DUMMYFUNCTION("IMPORTRANGE(""https://docs.google.com/spreadsheets/d/1Yj_ptqi66GCucihVvJfMjLAmec39IyEx_6qawtMGysU/edit?usp=sharing"",""สบก!CR61"")"),0)</f>
        <v>0</v>
      </c>
      <c r="M298" s="49"/>
      <c r="N298" s="49">
        <f ca="1">IFERROR(__xludf.DUMMYFUNCTION("IMPORTRANGE(""https://docs.google.com/spreadsheets/d/1Yj_ptqi66GCucihVvJfMjLAmec39IyEx_6qawtMGysU/edit?usp=sharing"",""สบก!CV61"")"),0)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IFERROR(__xludf.DUMMYFUNCTION("IMPORTRANGE(""https://docs.google.com/spreadsheets/d/1SX6NBoVAgQJ6U1MVXOaj8PK2l7WJ3RER9xtqwdhxkhw/edit?usp=sharing"",""ฉะเชิงเทรา!J205"")"),0)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IFERROR(__xludf.DUMMYFUNCTION("IMPORTRANGE(""https://docs.google.com/spreadsheets/d/1SX6NBoVAgQJ6U1MVXOaj8PK2l7WJ3RER9xtqwdhxkhw/edit?usp=sharing"",""ฉะเชิงเทรา!J206"")"),0)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IFERROR(__xludf.DUMMYFUNCTION("IMPORTRANGE(""https://docs.google.com/spreadsheets/d/1SX6NBoVAgQJ6U1MVXOaj8PK2l7WJ3RER9xtqwdhxkhw/edit?usp=sharing"",""ฉะเชิงเทรา!J207"")"),0)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IFERROR(__xludf.DUMMYFUNCTION("IMPORTRANGE(""https://docs.google.com/spreadsheets/d/1SX6NBoVAgQJ6U1MVXOaj8PK2l7WJ3RER9xtqwdhxkhw/edit?usp=sharing"",""ฉะเชิงเทรา!J208"")"),0)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IFERROR(__xludf.DUMMYFUNCTION("IMPORTRANGE(""https://docs.google.com/spreadsheets/d/1SX6NBoVAgQJ6U1MVXOaj8PK2l7WJ3RER9xtqwdhxkhw/edit?usp=sharing"",""ฉะเชิงเทรา!I209"")"),0)</f>
        <v>0</v>
      </c>
      <c r="J304" s="204">
        <f ca="1">IFERROR(__xludf.DUMMYFUNCTION("IMPORTRANGE(""https://docs.google.com/spreadsheets/d/1SX6NBoVAgQJ6U1MVXOaj8PK2l7WJ3RER9xtqwdhxkhw/edit?usp=sharing"",""ฉะเชิงเทรา!J209"")"),0)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IFERROR(__xludf.DUMMYFUNCTION("IMPORTRANGE(""https://docs.google.com/spreadsheets/d/1SX6NBoVAgQJ6U1MVXOaj8PK2l7WJ3RER9xtqwdhxkhw/edit?usp=sharing"",""ฉะเชิงเทรา!I211"")"),0)</f>
        <v>0</v>
      </c>
      <c r="J306" s="204">
        <f ca="1">IFERROR(__xludf.DUMMYFUNCTION("IMPORTRANGE(""https://docs.google.com/spreadsheets/d/1SX6NBoVAgQJ6U1MVXOaj8PK2l7WJ3RER9xtqwdhxkhw/edit?usp=sharing"",""ฉะเชิงเทรา!J211"")"),0)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IFERROR(__xludf.DUMMYFUNCTION("IMPORTRANGE(""https://docs.google.com/spreadsheets/d/1SX6NBoVAgQJ6U1MVXOaj8PK2l7WJ3RER9xtqwdhxkhw/edit?usp=sharing"",""ฉะเชิงเทรา!J212"")"),0)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IFERROR(__xludf.DUMMYFUNCTION("IMPORTRANGE(""https://docs.google.com/spreadsheets/d/1SX6NBoVAgQJ6U1MVXOaj8PK2l7WJ3RER9xtqwdhxkhw/edit?usp=sharing"",""ฉะเชิงเทรา!J213"")"),0)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IFERROR(__xludf.DUMMYFUNCTION("IMPORTRANGE(""https://docs.google.com/spreadsheets/d/1SX6NBoVAgQJ6U1MVXOaj8PK2l7WJ3RER9xtqwdhxkhw/edit?usp=sharing"",""ฉะเชิงเทรา!I214"")"),0)</f>
        <v>0</v>
      </c>
      <c r="J309" s="333">
        <f ca="1">IFERROR(__xludf.DUMMYFUNCTION("IMPORTRANGE(""https://docs.google.com/spreadsheets/d/1SX6NBoVAgQJ6U1MVXOaj8PK2l7WJ3RER9xtqwdhxkhw/edit?usp=sharing"",""ฉะเชิงเทรา!J214"")"),0)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IFERROR(__xludf.DUMMYFUNCTION("IMPORTRANGE(""https://docs.google.com/spreadsheets/d/1Yj_ptqi66GCucihVvJfMjLAmec39IyEx_6qawtMGysU/edit?usp=sharing"",""สบก!DC61"")"),0)</f>
        <v>0</v>
      </c>
      <c r="N314" s="169">
        <f ca="1">IFERROR(__xludf.DUMMYFUNCTION("IMPORTRANGE(""https://docs.google.com/spreadsheets/d/1Yj_ptqi66GCucihVvJfMjLAmec39IyEx_6qawtMGysU/edit?usp=sharing"",""สบก!DD61"")"),0)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IFERROR(__xludf.DUMMYFUNCTION("IMPORTRANGE(""https://docs.google.com/spreadsheets/d/1Yj_ptqi66GCucihVvJfMjLAmec39IyEx_6qawtMGysU/edit?usp=sharing"",""สบก!CY61"")"),0)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IFERROR(__xludf.DUMMYFUNCTION("IMPORTRANGE(""https://docs.google.com/spreadsheets/d/1Yj_ptqi66GCucihVvJfMjLAmec39IyEx_6qawtMGysU/edit?usp=sharing"",""สบก!CZ61"")"),0)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IFERROR(__xludf.DUMMYFUNCTION("IMPORTRANGE(""https://docs.google.com/spreadsheets/d/1Yj_ptqi66GCucihVvJfMjLAmec39IyEx_6qawtMGysU/edit?usp=sharing"",""สบก!DA61"")"),0)</f>
        <v>0</v>
      </c>
      <c r="M318" s="49"/>
      <c r="N318" s="49">
        <f ca="1">IFERROR(__xludf.DUMMYFUNCTION("IMPORTRANGE(""https://docs.google.com/spreadsheets/d/1Yj_ptqi66GCucihVvJfMjLAmec39IyEx_6qawtMGysU/edit?usp=sharing"",""สบก!DE61"")"),0)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IFERROR(__xludf.DUMMYFUNCTION("IMPORTRANGE(""https://docs.google.com/spreadsheets/d/1SX6NBoVAgQJ6U1MVXOaj8PK2l7WJ3RER9xtqwdhxkhw/edit?usp=sharing"",""ฉะเชิงเทรา!J220"")"),0)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IFERROR(__xludf.DUMMYFUNCTION("IMPORTRANGE(""https://docs.google.com/spreadsheets/d/1SX6NBoVAgQJ6U1MVXOaj8PK2l7WJ3RER9xtqwdhxkhw/edit?usp=sharing"",""ฉะเชิงเทรา!J221"")"),0)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IFERROR(__xludf.DUMMYFUNCTION("IMPORTRANGE(""https://docs.google.com/spreadsheets/d/1SX6NBoVAgQJ6U1MVXOaj8PK2l7WJ3RER9xtqwdhxkhw/edit?usp=sharing"",""ฉะเชิงเทรา!J222"")"),0)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IFERROR(__xludf.DUMMYFUNCTION("IMPORTRANGE(""https://docs.google.com/spreadsheets/d/1SX6NBoVAgQJ6U1MVXOaj8PK2l7WJ3RER9xtqwdhxkhw/edit?usp=sharing"",""ฉะเชิงเทรา!J223"")"),0)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IFERROR(__xludf.DUMMYFUNCTION("IMPORTRANGE(""https://docs.google.com/spreadsheets/d/1SX6NBoVAgQJ6U1MVXOaj8PK2l7WJ3RER9xtqwdhxkhw/edit?usp=sharing"",""ฉะเชิงเทรา!I224"")"),0)</f>
        <v>0</v>
      </c>
      <c r="J324" s="204">
        <f ca="1">IFERROR(__xludf.DUMMYFUNCTION("IMPORTRANGE(""https://docs.google.com/spreadsheets/d/1SX6NBoVAgQJ6U1MVXOaj8PK2l7WJ3RER9xtqwdhxkhw/edit?usp=sharing"",""ฉะเชิงเทรา!J224"")"),0)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IFERROR(__xludf.DUMMYFUNCTION("IMPORTRANGE(""https://docs.google.com/spreadsheets/d/1SX6NBoVAgQJ6U1MVXOaj8PK2l7WJ3RER9xtqwdhxkhw/edit?usp=sharing"",""ฉะเชิงเทรา!J225"")"),0)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IFERROR(__xludf.DUMMYFUNCTION("IMPORTRANGE(""https://docs.google.com/spreadsheets/d/1SX6NBoVAgQJ6U1MVXOaj8PK2l7WJ3RER9xtqwdhxkhw/edit?usp=sharing"",""ฉะเชิงเทรา!J226"")"),0)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IFERROR(__xludf.DUMMYFUNCTION("IMPORTRANGE(""https://docs.google.com/spreadsheets/d/1SX6NBoVAgQJ6U1MVXOaj8PK2l7WJ3RER9xtqwdhxkhw/edit?usp=sharing"",""ฉะเชิงเทรา!I228"")"),210)</f>
        <v>210</v>
      </c>
      <c r="J328" s="339">
        <f ca="1">IFERROR(__xludf.DUMMYFUNCTION("IMPORTRANGE(""https://docs.google.com/spreadsheets/d/1SX6NBoVAgQJ6U1MVXOaj8PK2l7WJ3RER9xtqwdhxkhw/edit?usp=sharing"",""ฉะเชิงเทรา!J228"")"),109)</f>
        <v>109</v>
      </c>
      <c r="K328" s="317">
        <f ca="1">IF(I328&gt;0,J328*100/I328,0)</f>
        <v>51.904761904761905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985070</v>
      </c>
      <c r="M329" s="152">
        <f t="shared" ca="1" si="98"/>
        <v>716780</v>
      </c>
      <c r="N329" s="152">
        <f t="shared" ca="1" si="98"/>
        <v>508244.13</v>
      </c>
      <c r="O329" s="151">
        <f t="shared" ref="O329:O331" ca="1" si="99">IF(L329&gt;0,N329*100/L329,0)</f>
        <v>51.594722202483069</v>
      </c>
      <c r="P329" s="151">
        <f t="shared" ref="P329:P331" ca="1" si="100">IF(M329&gt;0,N329*100/M329,0)</f>
        <v>70.906572449008067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985070</v>
      </c>
      <c r="M331" s="157">
        <f t="shared" ca="1" si="102"/>
        <v>716780</v>
      </c>
      <c r="N331" s="157">
        <f t="shared" ca="1" si="102"/>
        <v>508244.13</v>
      </c>
      <c r="O331" s="156">
        <f t="shared" ca="1" si="99"/>
        <v>51.594722202483069</v>
      </c>
      <c r="P331" s="156">
        <f t="shared" ca="1" si="100"/>
        <v>70.906572449008067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968070</v>
      </c>
      <c r="M333" s="168">
        <f ca="1">IFERROR(__xludf.DUMMYFUNCTION("IMPORTRANGE(""https://docs.google.com/spreadsheets/d/1Yj_ptqi66GCucihVvJfMjLAmec39IyEx_6qawtMGysU/edit?usp=sharing"",""สบก!DL61"")"),699780)</f>
        <v>699780</v>
      </c>
      <c r="N333" s="169">
        <f ca="1">IFERROR(__xludf.DUMMYFUNCTION("IMPORTRANGE(""https://docs.google.com/spreadsheets/d/1Yj_ptqi66GCucihVvJfMjLAmec39IyEx_6qawtMGysU/edit?usp=sharing"",""สบก!DM61"")"),491244.13)</f>
        <v>491244.13</v>
      </c>
      <c r="O333" s="169">
        <f ca="1">IF(L333&gt;0,N333*100/L333,0)</f>
        <v>50.744690983090067</v>
      </c>
      <c r="P333" s="169">
        <f ca="1">IF(M333&gt;0,N333*100/M333,0)</f>
        <v>70.199795650061446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IFERROR(__xludf.DUMMYFUNCTION("IMPORTRANGE(""https://docs.google.com/spreadsheets/d/1Yj_ptqi66GCucihVvJfMjLAmec39IyEx_6qawtMGysU/edit?usp=sharing"",""สบก!DH61"")"),529200)</f>
        <v>529200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IFERROR(__xludf.DUMMYFUNCTION("IMPORTRANGE(""https://docs.google.com/spreadsheets/d/1Yj_ptqi66GCucihVvJfMjLAmec39IyEx_6qawtMGysU/edit?usp=sharing"",""สบก!DI61"")"),438870)</f>
        <v>438870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IFERROR(__xludf.DUMMYFUNCTION("IMPORTRANGE(""https://docs.google.com/spreadsheets/d/1Yj_ptqi66GCucihVvJfMjLAmec39IyEx_6qawtMGysU/edit?usp=sharing"",""สบก!DJ61"")"),17000)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IFERROR(__xludf.DUMMYFUNCTION("IMPORTRANGE(""https://docs.google.com/spreadsheets/d/1Yj_ptqi66GCucihVvJfMjLAmec39IyEx_6qawtMGysU/edit?usp=sharing"",""สบก!DN61"")"),17000)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IFERROR(__xludf.DUMMYFUNCTION("IMPORTRANGE(""https://docs.google.com/spreadsheets/d/1SX6NBoVAgQJ6U1MVXOaj8PK2l7WJ3RER9xtqwdhxkhw/edit?usp=sharing"",""ฉะเชิงเทรา!I234"")"),0)</f>
        <v>0</v>
      </c>
      <c r="J339" s="188">
        <f ca="1">IFERROR(__xludf.DUMMYFUNCTION("IMPORTRANGE(""https://docs.google.com/spreadsheets/d/1SX6NBoVAgQJ6U1MVXOaj8PK2l7WJ3RER9xtqwdhxkhw/edit?usp=sharing"",""ฉะเชิงเทรา!J234"")"),286)</f>
        <v>286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IFERROR(__xludf.DUMMYFUNCTION("IMPORTRANGE(""https://docs.google.com/spreadsheets/d/1SX6NBoVAgQJ6U1MVXOaj8PK2l7WJ3RER9xtqwdhxkhw/edit?usp=sharing"",""ฉะเชิงเทรา!I235"")"),3160)</f>
        <v>3160</v>
      </c>
      <c r="J340" s="188">
        <f ca="1">IFERROR(__xludf.DUMMYFUNCTION("IMPORTRANGE(""https://docs.google.com/spreadsheets/d/1SX6NBoVAgQJ6U1MVXOaj8PK2l7WJ3RER9xtqwdhxkhw/edit?usp=sharing"",""ฉะเชิงเทรา!J235"")"),3273.29)</f>
        <v>3273.29</v>
      </c>
      <c r="K340" s="342">
        <f t="shared" ca="1" si="103"/>
        <v>103.58512658227848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IFERROR(__xludf.DUMMYFUNCTION("IMPORTRANGE(""https://docs.google.com/spreadsheets/d/1SX6NBoVAgQJ6U1MVXOaj8PK2l7WJ3RER9xtqwdhxkhw/edit?usp=sharing"",""ฉะเชิงเทรา!I236"")"),210)</f>
        <v>210</v>
      </c>
      <c r="J341" s="188">
        <f ca="1">IFERROR(__xludf.DUMMYFUNCTION("IMPORTRANGE(""https://docs.google.com/spreadsheets/d/1SX6NBoVAgQJ6U1MVXOaj8PK2l7WJ3RER9xtqwdhxkhw/edit?usp=sharing"",""ฉะเชิงเทรา!J236"")"),193)</f>
        <v>193</v>
      </c>
      <c r="K341" s="342">
        <f t="shared" ca="1" si="103"/>
        <v>91.904761904761898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IFERROR(__xludf.DUMMYFUNCTION("IMPORTRANGE(""https://docs.google.com/spreadsheets/d/1SX6NBoVAgQJ6U1MVXOaj8PK2l7WJ3RER9xtqwdhxkhw/edit?usp=sharing"",""ฉะเชิงเทรา!I237"")"),0)</f>
        <v>0</v>
      </c>
      <c r="J342" s="188">
        <f ca="1">IFERROR(__xludf.DUMMYFUNCTION("IMPORTRANGE(""https://docs.google.com/spreadsheets/d/1SX6NBoVAgQJ6U1MVXOaj8PK2l7WJ3RER9xtqwdhxkhw/edit?usp=sharing"",""ฉะเชิงเทรา!J237"")"),2497.96)</f>
        <v>2497.96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IFERROR(__xludf.DUMMYFUNCTION("IMPORTRANGE(""https://docs.google.com/spreadsheets/d/1SX6NBoVAgQJ6U1MVXOaj8PK2l7WJ3RER9xtqwdhxkhw/edit?usp=sharing"",""ฉะเชิงเทรา!I238"")"),210)</f>
        <v>210</v>
      </c>
      <c r="J343" s="188">
        <f ca="1">IFERROR(__xludf.DUMMYFUNCTION("IMPORTRANGE(""https://docs.google.com/spreadsheets/d/1SX6NBoVAgQJ6U1MVXOaj8PK2l7WJ3RER9xtqwdhxkhw/edit?usp=sharing"",""ฉะเชิงเทรา!J238"")"),0)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IFERROR(__xludf.DUMMYFUNCTION("IMPORTRANGE(""https://docs.google.com/spreadsheets/d/1SX6NBoVAgQJ6U1MVXOaj8PK2l7WJ3RER9xtqwdhxkhw/edit?usp=sharing"",""ฉะเชิงเทรา!I239"")"),0)</f>
        <v>0</v>
      </c>
      <c r="J344" s="188">
        <f ca="1">IFERROR(__xludf.DUMMYFUNCTION("IMPORTRANGE(""https://docs.google.com/spreadsheets/d/1SX6NBoVAgQJ6U1MVXOaj8PK2l7WJ3RER9xtqwdhxkhw/edit?usp=sharing"",""ฉะเชิงเทรา!J239"")"),0)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IFERROR(__xludf.DUMMYFUNCTION("IMPORTRANGE(""https://docs.google.com/spreadsheets/d/1SX6NBoVAgQJ6U1MVXOaj8PK2l7WJ3RER9xtqwdhxkhw/edit?usp=sharing"",""ฉะเชิงเทรา!I240"")"),210)</f>
        <v>210</v>
      </c>
      <c r="J345" s="188">
        <f ca="1">IFERROR(__xludf.DUMMYFUNCTION("IMPORTRANGE(""https://docs.google.com/spreadsheets/d/1SX6NBoVAgQJ6U1MVXOaj8PK2l7WJ3RER9xtqwdhxkhw/edit?usp=sharing"",""ฉะเชิงเทรา!J240"")"),109)</f>
        <v>109</v>
      </c>
      <c r="K345" s="342">
        <f t="shared" ca="1" si="103"/>
        <v>51.904761904761905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IFERROR(__xludf.DUMMYFUNCTION("IMPORTRANGE(""https://docs.google.com/spreadsheets/d/1SX6NBoVAgQJ6U1MVXOaj8PK2l7WJ3RER9xtqwdhxkhw/edit?usp=sharing"",""ฉะเชิงเทรา!I241"")"),0)</f>
        <v>0</v>
      </c>
      <c r="J346" s="188">
        <f ca="1">IFERROR(__xludf.DUMMYFUNCTION("IMPORTRANGE(""https://docs.google.com/spreadsheets/d/1SX6NBoVAgQJ6U1MVXOaj8PK2l7WJ3RER9xtqwdhxkhw/edit?usp=sharing"",""ฉะเชิงเทรา!J241"")"),1574.6)</f>
        <v>1574.6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IFERROR(__xludf.DUMMYFUNCTION("IMPORTRANGE(""https://docs.google.com/spreadsheets/d/1SX6NBoVAgQJ6U1MVXOaj8PK2l7WJ3RER9xtqwdhxkhw/edit?usp=sharing"",""ฉะเชิงเทรา!L242"")"),2682919)</f>
        <v>2682919</v>
      </c>
      <c r="M347" s="358"/>
      <c r="N347" s="358">
        <f ca="1">IFERROR(__xludf.DUMMYFUNCTION("IMPORTRANGE(""https://docs.google.com/spreadsheets/d/1SX6NBoVAgQJ6U1MVXOaj8PK2l7WJ3RER9xtqwdhxkhw/edit?usp=sharing"",""ฉะเชิงเทรา!M242"")"),1159889.98)</f>
        <v>1159889.98</v>
      </c>
      <c r="O347" s="358">
        <f ca="1">+IF(L347&gt;0,N347*100/L347,0)</f>
        <v>43.232389050880776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IFERROR(__xludf.DUMMYFUNCTION("IMPORTRANGE(""https://docs.google.com/spreadsheets/d/1SX6NBoVAgQJ6U1MVXOaj8PK2l7WJ3RER9xtqwdhxkhw/edit?usp=sharing"",""ฉะเชิงเทรา!I244"")"),64)</f>
        <v>64</v>
      </c>
      <c r="J349" s="371">
        <f ca="1">IFERROR(__xludf.DUMMYFUNCTION("IMPORTRANGE(""https://docs.google.com/spreadsheets/d/1SX6NBoVAgQJ6U1MVXOaj8PK2l7WJ3RER9xtqwdhxkhw/edit?usp=sharing"",""ฉะเชิงเทรา!J244"")"),64)</f>
        <v>64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IFERROR(__xludf.DUMMYFUNCTION("IMPORTRANGE(""https://docs.google.com/spreadsheets/d/1SX6NBoVAgQJ6U1MVXOaj8PK2l7WJ3RER9xtqwdhxkhw/edit?usp=sharing"",""ฉะเชิงเทรา!L244"")"),324540)</f>
        <v>324540</v>
      </c>
      <c r="M349" s="373"/>
      <c r="N349" s="373">
        <f ca="1">IFERROR(__xludf.DUMMYFUNCTION("IMPORTRANGE(""https://docs.google.com/spreadsheets/d/1SX6NBoVAgQJ6U1MVXOaj8PK2l7WJ3RER9xtqwdhxkhw/edit?usp=sharing"",""ฉะเชิงเทรา!M244"")"),212632.919999999)</f>
        <v>212632.91999999899</v>
      </c>
      <c r="O349" s="373">
        <f ca="1">+IF(L349&gt;0,N349*100/L349,0)</f>
        <v>65.518247365501637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IFERROR(__xludf.DUMMYFUNCTION("IMPORTRANGE(""https://docs.google.com/spreadsheets/d/1SX6NBoVAgQJ6U1MVXOaj8PK2l7WJ3RER9xtqwdhxkhw/edit?usp=sharing"",""ฉะเชิงเทรา!I245"")"),54)</f>
        <v>54</v>
      </c>
      <c r="J350" s="371">
        <f ca="1">IFERROR(__xludf.DUMMYFUNCTION("IMPORTRANGE(""https://docs.google.com/spreadsheets/d/1SX6NBoVAgQJ6U1MVXOaj8PK2l7WJ3RER9xtqwdhxkhw/edit?usp=sharing"",""ฉะเชิงเทรา!J245"")"),54)</f>
        <v>54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IFERROR(__xludf.DUMMYFUNCTION("IMPORTRANGE(""https://docs.google.com/spreadsheets/d/1SX6NBoVAgQJ6U1MVXOaj8PK2l7WJ3RER9xtqwdhxkhw/edit?usp=sharing"",""ฉะเชิงเทรา!L246"")"),0)</f>
        <v>0</v>
      </c>
      <c r="M351" s="164"/>
      <c r="N351" s="164">
        <f ca="1">IFERROR(__xludf.DUMMYFUNCTION("IMPORTRANGE(""https://docs.google.com/spreadsheets/d/1SX6NBoVAgQJ6U1MVXOaj8PK2l7WJ3RER9xtqwdhxkhw/edit?usp=sharing"",""ฉะเชิงเทรา!M246"")"),0)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IFERROR(__xludf.DUMMYFUNCTION("IMPORTRANGE(""https://docs.google.com/spreadsheets/d/1SX6NBoVAgQJ6U1MVXOaj8PK2l7WJ3RER9xtqwdhxkhw/edit?usp=sharing"",""ฉะเชิงเทรา!L247"")"),324540)</f>
        <v>324540</v>
      </c>
      <c r="M352" s="165"/>
      <c r="N352" s="164">
        <f ca="1">IFERROR(__xludf.DUMMYFUNCTION("IMPORTRANGE(""https://docs.google.com/spreadsheets/d/1SX6NBoVAgQJ6U1MVXOaj8PK2l7WJ3RER9xtqwdhxkhw/edit?usp=sharing"",""ฉะเชิงเทรา!M247"")"),212632.919999999)</f>
        <v>212632.91999999899</v>
      </c>
      <c r="O352" s="165">
        <f t="shared" ca="1" si="105"/>
        <v>65.518247365501637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IFERROR(__xludf.DUMMYFUNCTION("IMPORTRANGE(""https://docs.google.com/spreadsheets/d/1SX6NBoVAgQJ6U1MVXOaj8PK2l7WJ3RER9xtqwdhxkhw/edit?usp=sharing"",""ฉะเชิงเทรา!L248"")"),0)</f>
        <v>0</v>
      </c>
      <c r="M353" s="169"/>
      <c r="N353" s="169">
        <f ca="1">IFERROR(__xludf.DUMMYFUNCTION("IMPORTRANGE(""https://docs.google.com/spreadsheets/d/1SX6NBoVAgQJ6U1MVXOaj8PK2l7WJ3RER9xtqwdhxkhw/edit?usp=sharing"",""ฉะเชิงเทรา!M248"")"),0)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IFERROR(__xludf.DUMMYFUNCTION("IMPORTRANGE(""https://docs.google.com/spreadsheets/d/1SX6NBoVAgQJ6U1MVXOaj8PK2l7WJ3RER9xtqwdhxkhw/edit?usp=sharing"",""ฉะเชิงเทรา!L249"")"),324540)</f>
        <v>324540</v>
      </c>
      <c r="M354" s="169"/>
      <c r="N354" s="168">
        <f ca="1">IFERROR(__xludf.DUMMYFUNCTION("IMPORTRANGE(""https://docs.google.com/spreadsheets/d/1SX6NBoVAgQJ6U1MVXOaj8PK2l7WJ3RER9xtqwdhxkhw/edit?usp=sharing"",""ฉะเชิงเทรา!M249"")"),212632.919999999)</f>
        <v>212632.91999999899</v>
      </c>
      <c r="O354" s="169">
        <f t="shared" ca="1" si="105"/>
        <v>65.518247365501637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IFERROR(__xludf.DUMMYFUNCTION("IMPORTRANGE(""https://docs.google.com/spreadsheets/d/1SX6NBoVAgQJ6U1MVXOaj8PK2l7WJ3RER9xtqwdhxkhw/edit?usp=sharing"",""ฉะเชิงเทรา!M250"")"),66360)</f>
        <v>66360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IFERROR(__xludf.DUMMYFUNCTION("IMPORTRANGE(""https://docs.google.com/spreadsheets/d/1SX6NBoVAgQJ6U1MVXOaj8PK2l7WJ3RER9xtqwdhxkhw/edit?usp=sharing"",""ฉะเชิงเทรา!M251"")"),70800)</f>
        <v>70800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IFERROR(__xludf.DUMMYFUNCTION("IMPORTRANGE(""https://docs.google.com/spreadsheets/d/1SX6NBoVAgQJ6U1MVXOaj8PK2l7WJ3RER9xtqwdhxkhw/edit?usp=sharing"",""ฉะเชิงเทรา!M252"")"),54632.92)</f>
        <v>54632.92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IFERROR(__xludf.DUMMYFUNCTION("IMPORTRANGE(""https://docs.google.com/spreadsheets/d/1SX6NBoVAgQJ6U1MVXOaj8PK2l7WJ3RER9xtqwdhxkhw/edit?usp=sharing"",""ฉะเชิงเทรา!M253"")"),20840)</f>
        <v>20840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IFERROR(__xludf.DUMMYFUNCTION("IMPORTRANGE(""https://docs.google.com/spreadsheets/d/1SX6NBoVAgQJ6U1MVXOaj8PK2l7WJ3RER9xtqwdhxkhw/edit?usp=sharing"",""ฉะเชิงเทรา!J255"")"),0)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IFERROR(__xludf.DUMMYFUNCTION("IMPORTRANGE(""https://docs.google.com/spreadsheets/d/1SX6NBoVAgQJ6U1MVXOaj8PK2l7WJ3RER9xtqwdhxkhw/edit?usp=sharing"",""ฉะเชิงเทรา!J256"")"),1)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IFERROR(__xludf.DUMMYFUNCTION("IMPORTRANGE(""https://docs.google.com/spreadsheets/d/1SX6NBoVAgQJ6U1MVXOaj8PK2l7WJ3RER9xtqwdhxkhw/edit?usp=sharing"",""ฉะเชิงเทรา!J257"")"),1)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IFERROR(__xludf.DUMMYFUNCTION("IMPORTRANGE(""https://docs.google.com/spreadsheets/d/1SX6NBoVAgQJ6U1MVXOaj8PK2l7WJ3RER9xtqwdhxkhw/edit?usp=sharing"",""ฉะเชิงเทรา!J258"")"),1)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IFERROR(__xludf.DUMMYFUNCTION("IMPORTRANGE(""https://docs.google.com/spreadsheets/d/1SX6NBoVAgQJ6U1MVXOaj8PK2l7WJ3RER9xtqwdhxkhw/edit?usp=sharing"",""ฉะเชิงเทรา!J166"")"),0)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IFERROR(__xludf.DUMMYFUNCTION("IMPORTRANGE(""https://docs.google.com/spreadsheets/d/1SX6NBoVAgQJ6U1MVXOaj8PK2l7WJ3RER9xtqwdhxkhw/edit?usp=sharing"",""ฉะเชิงเทรา!J166"")"),0)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IFERROR(__xludf.DUMMYFUNCTION("IMPORTRANGE(""https://docs.google.com/spreadsheets/d/1SX6NBoVAgQJ6U1MVXOaj8PK2l7WJ3RER9xtqwdhxkhw/edit?usp=sharing"",""ฉะเชิงเทรา!J166"")"),0)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IFERROR(__xludf.DUMMYFUNCTION("IMPORTRANGE(""https://docs.google.com/spreadsheets/d/1SX6NBoVAgQJ6U1MVXOaj8PK2l7WJ3RER9xtqwdhxkhw/edit?usp=sharing"",""ฉะเชิงเทรา!J166"")"),0)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IFERROR(__xludf.DUMMYFUNCTION("IMPORTRANGE(""https://docs.google.com/spreadsheets/d/1SX6NBoVAgQJ6U1MVXOaj8PK2l7WJ3RER9xtqwdhxkhw/edit?usp=sharing"",""ฉะเชิงเทรา!I263"")"),54)</f>
        <v>54</v>
      </c>
      <c r="J368" s="188">
        <f ca="1">IFERROR(__xludf.DUMMYFUNCTION("IMPORTRANGE(""https://docs.google.com/spreadsheets/d/1SX6NBoVAgQJ6U1MVXOaj8PK2l7WJ3RER9xtqwdhxkhw/edit?usp=sharing"",""ฉะเชิงเทรา!J263"")"),54)</f>
        <v>54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IFERROR(__xludf.DUMMYFUNCTION("IMPORTRANGE(""https://docs.google.com/spreadsheets/d/1SX6NBoVAgQJ6U1MVXOaj8PK2l7WJ3RER9xtqwdhxkhw/edit?usp=sharing"",""ฉะเชิงเทรา!I164"")"),0)</f>
        <v>0</v>
      </c>
      <c r="J369" s="204">
        <f ca="1">IFERROR(__xludf.DUMMYFUNCTION("IMPORTRANGE(""https://docs.google.com/spreadsheets/d/1SX6NBoVAgQJ6U1MVXOaj8PK2l7WJ3RER9xtqwdhxkhw/edit?usp=sharing"",""ฉะเชิงเทรา!J164"")"),0)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IFERROR(__xludf.DUMMYFUNCTION("IMPORTRANGE(""https://docs.google.com/spreadsheets/d/1SX6NBoVAgQJ6U1MVXOaj8PK2l7WJ3RER9xtqwdhxkhw/edit?usp=sharing"",""ฉะเชิงเทรา!I265"")"),54)</f>
        <v>54</v>
      </c>
      <c r="J370" s="204">
        <f ca="1">IFERROR(__xludf.DUMMYFUNCTION("IMPORTRANGE(""https://docs.google.com/spreadsheets/d/1SX6NBoVAgQJ6U1MVXOaj8PK2l7WJ3RER9xtqwdhxkhw/edit?usp=sharing"",""ฉะเชิงเทรา!J265"")"),54)</f>
        <v>54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IFERROR(__xludf.DUMMYFUNCTION("IMPORTRANGE(""https://docs.google.com/spreadsheets/d/1SX6NBoVAgQJ6U1MVXOaj8PK2l7WJ3RER9xtqwdhxkhw/edit?usp=sharing"",""ฉะเชิงเทรา!I164"")"),0)</f>
        <v>0</v>
      </c>
      <c r="J371" s="189">
        <f ca="1">IFERROR(__xludf.DUMMYFUNCTION("IMPORTRANGE(""https://docs.google.com/spreadsheets/d/1SX6NBoVAgQJ6U1MVXOaj8PK2l7WJ3RER9xtqwdhxkhw/edit?usp=sharing"",""ฉะเชิงเทรา!J164"")"),0)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IFERROR(__xludf.DUMMYFUNCTION("IMPORTRANGE(""https://docs.google.com/spreadsheets/d/1SX6NBoVAgQJ6U1MVXOaj8PK2l7WJ3RER9xtqwdhxkhw/edit?usp=sharing"",""ฉะเชิงเทรา!I267"")"),54)</f>
        <v>54</v>
      </c>
      <c r="J372" s="189">
        <f ca="1">IFERROR(__xludf.DUMMYFUNCTION("IMPORTRANGE(""https://docs.google.com/spreadsheets/d/1SX6NBoVAgQJ6U1MVXOaj8PK2l7WJ3RER9xtqwdhxkhw/edit?usp=sharing"",""ฉะเชิงเทรา!J267"")"),54)</f>
        <v>54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IFERROR(__xludf.DUMMYFUNCTION("IMPORTRANGE(""https://docs.google.com/spreadsheets/d/1SX6NBoVAgQJ6U1MVXOaj8PK2l7WJ3RER9xtqwdhxkhw/edit?usp=sharing"",""ฉะเชิงเทรา!I164"")"),0)</f>
        <v>0</v>
      </c>
      <c r="J373" s="204">
        <f ca="1">IFERROR(__xludf.DUMMYFUNCTION("IMPORTRANGE(""https://docs.google.com/spreadsheets/d/1SX6NBoVAgQJ6U1MVXOaj8PK2l7WJ3RER9xtqwdhxkhw/edit?usp=sharing"",""ฉะเชิงเทรา!J164"")"),0)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IFERROR(__xludf.DUMMYFUNCTION("IMPORTRANGE(""https://docs.google.com/spreadsheets/d/1SX6NBoVAgQJ6U1MVXOaj8PK2l7WJ3RER9xtqwdhxkhw/edit?usp=sharing"",""ฉะเชิงเทรา!I164"")"),0)</f>
        <v>0</v>
      </c>
      <c r="J374" s="188">
        <f ca="1">IFERROR(__xludf.DUMMYFUNCTION("IMPORTRANGE(""https://docs.google.com/spreadsheets/d/1SX6NBoVAgQJ6U1MVXOaj8PK2l7WJ3RER9xtqwdhxkhw/edit?usp=sharing"",""ฉะเชิงเทรา!J164"")"),0)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IFERROR(__xludf.DUMMYFUNCTION("IMPORTRANGE(""https://docs.google.com/spreadsheets/d/1SX6NBoVAgQJ6U1MVXOaj8PK2l7WJ3RER9xtqwdhxkhw/edit?usp=sharing"",""ฉะเชิงเทรา!I270"")"),64)</f>
        <v>64</v>
      </c>
      <c r="J375" s="188">
        <f ca="1">IFERROR(__xludf.DUMMYFUNCTION("IMPORTRANGE(""https://docs.google.com/spreadsheets/d/1SX6NBoVAgQJ6U1MVXOaj8PK2l7WJ3RER9xtqwdhxkhw/edit?usp=sharing"",""ฉะเชิงเทรา!J270"")"),64)</f>
        <v>64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IFERROR(__xludf.DUMMYFUNCTION("IMPORTRANGE(""https://docs.google.com/spreadsheets/d/1SX6NBoVAgQJ6U1MVXOaj8PK2l7WJ3RER9xtqwdhxkhw/edit?usp=sharing"",""ฉะเชิงเทรา!I271"")"),20)</f>
        <v>20</v>
      </c>
      <c r="J376" s="189">
        <f ca="1">IFERROR(__xludf.DUMMYFUNCTION("IMPORTRANGE(""https://docs.google.com/spreadsheets/d/1SX6NBoVAgQJ6U1MVXOaj8PK2l7WJ3RER9xtqwdhxkhw/edit?usp=sharing"",""ฉะเชิงเทรา!J271"")"),20)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IFERROR(__xludf.DUMMYFUNCTION("IMPORTRANGE(""https://docs.google.com/spreadsheets/d/1SX6NBoVAgQJ6U1MVXOaj8PK2l7WJ3RER9xtqwdhxkhw/edit?usp=sharing"",""ฉะเชิงเทรา!I272"")"),44)</f>
        <v>44</v>
      </c>
      <c r="J377" s="204">
        <f ca="1">IFERROR(__xludf.DUMMYFUNCTION("IMPORTRANGE(""https://docs.google.com/spreadsheets/d/1SX6NBoVAgQJ6U1MVXOaj8PK2l7WJ3RER9xtqwdhxkhw/edit?usp=sharing"",""ฉะเชิงเทรา!J272"")"),44)</f>
        <v>44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IFERROR(__xludf.DUMMYFUNCTION("IMPORTRANGE(""https://docs.google.com/spreadsheets/d/1SX6NBoVAgQJ6U1MVXOaj8PK2l7WJ3RER9xtqwdhxkhw/edit?usp=sharing"",""ฉะเชิงเทรา!J273"")"),0)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IFERROR(__xludf.DUMMYFUNCTION("IMPORTRANGE(""https://docs.google.com/spreadsheets/d/1SX6NBoVAgQJ6U1MVXOaj8PK2l7WJ3RER9xtqwdhxkhw/edit?usp=sharing"",""ฉะเชิงเทรา!J274"")"),0)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IFERROR(__xludf.DUMMYFUNCTION("IMPORTRANGE(""https://docs.google.com/spreadsheets/d/1SX6NBoVAgQJ6U1MVXOaj8PK2l7WJ3RER9xtqwdhxkhw/edit?usp=sharing"",""ฉะเชิงเทรา!I275"")"),1000)</f>
        <v>1000</v>
      </c>
      <c r="J380" s="371">
        <f ca="1">IFERROR(__xludf.DUMMYFUNCTION("IMPORTRANGE(""https://docs.google.com/spreadsheets/d/1SX6NBoVAgQJ6U1MVXOaj8PK2l7WJ3RER9xtqwdhxkhw/edit?usp=sharing"",""ฉะเชิงเทรา!J275"")"),1000)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IFERROR(__xludf.DUMMYFUNCTION("IMPORTRANGE(""https://docs.google.com/spreadsheets/d/1SX6NBoVAgQJ6U1MVXOaj8PK2l7WJ3RER9xtqwdhxkhw/edit?usp=sharing"",""ฉะเชิงเทรา!L275"")"),1028520)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IFERROR(__xludf.DUMMYFUNCTION("IMPORTRANGE(""https://docs.google.com/spreadsheets/d/1SX6NBoVAgQJ6U1MVXOaj8PK2l7WJ3RER9xtqwdhxkhw/edit?usp=sharing"",""ฉะเชิงเทรา!M275"")"),265153.42)</f>
        <v>265153.42</v>
      </c>
      <c r="O380" s="373">
        <f ca="1">+IF(L380&gt;0,N380*100/L380,0)</f>
        <v>25.780093726908568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IFERROR(__xludf.DUMMYFUNCTION("IMPORTRANGE(""https://docs.google.com/spreadsheets/d/1SX6NBoVAgQJ6U1MVXOaj8PK2l7WJ3RER9xtqwdhxkhw/edit?usp=sharing"",""ฉะเชิงเทรา!I276"")"),100)</f>
        <v>100</v>
      </c>
      <c r="J381" s="371">
        <f ca="1">IFERROR(__xludf.DUMMYFUNCTION("IMPORTRANGE(""https://docs.google.com/spreadsheets/d/1SX6NBoVAgQJ6U1MVXOaj8PK2l7WJ3RER9xtqwdhxkhw/edit?usp=sharing"",""ฉะเชิงเทรา!J276"")"),100)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IFERROR(__xludf.DUMMYFUNCTION("IMPORTRANGE(""https://docs.google.com/spreadsheets/d/1SX6NBoVAgQJ6U1MVXOaj8PK2l7WJ3RER9xtqwdhxkhw/edit?usp=sharing"",""ฉะเชิงเทรา!L277"")"),0)</f>
        <v>0</v>
      </c>
      <c r="M382" s="164"/>
      <c r="N382" s="164">
        <f ca="1">IFERROR(__xludf.DUMMYFUNCTION("IMPORTRANGE(""https://docs.google.com/spreadsheets/d/1SX6NBoVAgQJ6U1MVXOaj8PK2l7WJ3RER9xtqwdhxkhw/edit?usp=sharing"",""ฉะเชิงเทรา!M277"")"),0)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IFERROR(__xludf.DUMMYFUNCTION("IMPORTRANGE(""https://docs.google.com/spreadsheets/d/1SX6NBoVAgQJ6U1MVXOaj8PK2l7WJ3RER9xtqwdhxkhw/edit?usp=sharing"",""ฉะเชิงเทรา!L278"")"),1028520)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IFERROR(__xludf.DUMMYFUNCTION("IMPORTRANGE(""https://docs.google.com/spreadsheets/d/1SX6NBoVAgQJ6U1MVXOaj8PK2l7WJ3RER9xtqwdhxkhw/edit?usp=sharing"",""ฉะเชิงเทรา!M278"")"),265153.42)</f>
        <v>265153.42</v>
      </c>
      <c r="O383" s="165">
        <f t="shared" ca="1" si="109"/>
        <v>25.780093726908568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IFERROR(__xludf.DUMMYFUNCTION("IMPORTRANGE(""https://docs.google.com/spreadsheets/d/1SX6NBoVAgQJ6U1MVXOaj8PK2l7WJ3RER9xtqwdhxkhw/edit?usp=sharing"",""ฉะเชิงเทรา!L279"")"),0)</f>
        <v>0</v>
      </c>
      <c r="M384" s="169"/>
      <c r="N384" s="169">
        <f ca="1">IFERROR(__xludf.DUMMYFUNCTION("IMPORTRANGE(""https://docs.google.com/spreadsheets/d/1SX6NBoVAgQJ6U1MVXOaj8PK2l7WJ3RER9xtqwdhxkhw/edit?usp=sharing"",""ฉะเชิงเทรา!M279"")"),0)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IFERROR(__xludf.DUMMYFUNCTION("IMPORTRANGE(""https://docs.google.com/spreadsheets/d/1SX6NBoVAgQJ6U1MVXOaj8PK2l7WJ3RER9xtqwdhxkhw/edit?usp=sharing"",""ฉะเชิงเทรา!L280"")"),1028520)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IFERROR(__xludf.DUMMYFUNCTION("IMPORTRANGE(""https://docs.google.com/spreadsheets/d/1SX6NBoVAgQJ6U1MVXOaj8PK2l7WJ3RER9xtqwdhxkhw/edit?usp=sharing"",""ฉะเชิงเทรา!M280"")"),265153.42)</f>
        <v>265153.42</v>
      </c>
      <c r="O385" s="169">
        <f t="shared" ca="1" si="109"/>
        <v>25.780093726908568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IFERROR(__xludf.DUMMYFUNCTION("IMPORTRANGE(""https://docs.google.com/spreadsheets/d/1SX6NBoVAgQJ6U1MVXOaj8PK2l7WJ3RER9xtqwdhxkhw/edit?usp=sharing"",""ฉะเชิงเทรา!M281"")"),198000)</f>
        <v>198000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IFERROR(__xludf.DUMMYFUNCTION("IMPORTRANGE(""https://docs.google.com/spreadsheets/d/1SX6NBoVAgQJ6U1MVXOaj8PK2l7WJ3RER9xtqwdhxkhw/edit?usp=sharing"",""ฉะเชิงเทรา!M282"")"),0)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IFERROR(__xludf.DUMMYFUNCTION("IMPORTRANGE(""https://docs.google.com/spreadsheets/d/1SX6NBoVAgQJ6U1MVXOaj8PK2l7WJ3RER9xtqwdhxkhw/edit?usp=sharing"",""ฉะเชิงเทรา!M283"")"),50233.42)</f>
        <v>50233.42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IFERROR(__xludf.DUMMYFUNCTION("IMPORTRANGE(""https://docs.google.com/spreadsheets/d/1SX6NBoVAgQJ6U1MVXOaj8PK2l7WJ3RER9xtqwdhxkhw/edit?usp=sharing"",""ฉะเชิงเทรา!M284"")"),16920)</f>
        <v>16920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IFERROR(__xludf.DUMMYFUNCTION("IMPORTRANGE(""https://docs.google.com/spreadsheets/d/1SX6NBoVAgQJ6U1MVXOaj8PK2l7WJ3RER9xtqwdhxkhw/edit?usp=sharing"",""ฉะเชิงเทรา!J286"")"),0)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IFERROR(__xludf.DUMMYFUNCTION("IMPORTRANGE(""https://docs.google.com/spreadsheets/d/1SX6NBoVAgQJ6U1MVXOaj8PK2l7WJ3RER9xtqwdhxkhw/edit?usp=sharing"",""ฉะเชิงเทรา!J287"")"),1)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IFERROR(__xludf.DUMMYFUNCTION("IMPORTRANGE(""https://docs.google.com/spreadsheets/d/1SX6NBoVAgQJ6U1MVXOaj8PK2l7WJ3RER9xtqwdhxkhw/edit?usp=sharing"",""ฉะเชิงเทรา!J288"")"),1)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IFERROR(__xludf.DUMMYFUNCTION("IMPORTRANGE(""https://docs.google.com/spreadsheets/d/1SX6NBoVAgQJ6U1MVXOaj8PK2l7WJ3RER9xtqwdhxkhw/edit?usp=sharing"",""ฉะเชิงเทรา!J289"")"),1)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IFERROR(__xludf.DUMMYFUNCTION("IMPORTRANGE(""https://docs.google.com/spreadsheets/d/1SX6NBoVAgQJ6U1MVXOaj8PK2l7WJ3RER9xtqwdhxkhw/edit?usp=sharing"",""ฉะเชิงเทรา!I291"")"),100)</f>
        <v>100</v>
      </c>
      <c r="J396" s="198">
        <f ca="1">IFERROR(__xludf.DUMMYFUNCTION("IMPORTRANGE(""https://docs.google.com/spreadsheets/d/1SX6NBoVAgQJ6U1MVXOaj8PK2l7WJ3RER9xtqwdhxkhw/edit?usp=sharing"",""ฉะเชิงเทรา!J291"")"),100)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IFERROR(__xludf.DUMMYFUNCTION("IMPORTRANGE(""https://docs.google.com/spreadsheets/d/1SX6NBoVAgQJ6U1MVXOaj8PK2l7WJ3RER9xtqwdhxkhw/edit?usp=sharing"",""ฉะเชิงเทรา!I292"")"),1000)</f>
        <v>1000</v>
      </c>
      <c r="J397" s="198">
        <f ca="1">IFERROR(__xludf.DUMMYFUNCTION("IMPORTRANGE(""https://docs.google.com/spreadsheets/d/1SX6NBoVAgQJ6U1MVXOaj8PK2l7WJ3RER9xtqwdhxkhw/edit?usp=sharing"",""ฉะเชิงเทรา!J292"")"),1000)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IFERROR(__xludf.DUMMYFUNCTION("IMPORTRANGE(""https://docs.google.com/spreadsheets/d/1SX6NBoVAgQJ6U1MVXOaj8PK2l7WJ3RER9xtqwdhxkhw/edit?usp=sharing"",""ฉะเชิงเทรา!I293"")"),100)</f>
        <v>100</v>
      </c>
      <c r="J398" s="198">
        <f ca="1">IFERROR(__xludf.DUMMYFUNCTION("IMPORTRANGE(""https://docs.google.com/spreadsheets/d/1SX6NBoVAgQJ6U1MVXOaj8PK2l7WJ3RER9xtqwdhxkhw/edit?usp=sharing"",""ฉะเชิงเทรา!J293"")"),100)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IFERROR(__xludf.DUMMYFUNCTION("IMPORTRANGE(""https://docs.google.com/spreadsheets/d/1SX6NBoVAgQJ6U1MVXOaj8PK2l7WJ3RER9xtqwdhxkhw/edit?usp=sharing"",""ฉะเชิงเทรา!J294"")"),0)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IFERROR(__xludf.DUMMYFUNCTION("IMPORTRANGE(""https://docs.google.com/spreadsheets/d/1SX6NBoVAgQJ6U1MVXOaj8PK2l7WJ3RER9xtqwdhxkhw/edit?usp=sharing"",""ฉะเชิงเทรา!J295"")"),0)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IFERROR(__xludf.DUMMYFUNCTION("IMPORTRANGE(""https://docs.google.com/spreadsheets/d/1SX6NBoVAgQJ6U1MVXOaj8PK2l7WJ3RER9xtqwdhxkhw/edit?usp=sharing"",""ฉะเชิงเทรา!I296"")"),240)</f>
        <v>240</v>
      </c>
      <c r="J401" s="371">
        <f ca="1">IFERROR(__xludf.DUMMYFUNCTION("IMPORTRANGE(""https://docs.google.com/spreadsheets/d/1SX6NBoVAgQJ6U1MVXOaj8PK2l7WJ3RER9xtqwdhxkhw/edit?usp=sharing"",""ฉะเชิงเทรา!J296"")"),240)</f>
        <v>240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IFERROR(__xludf.DUMMYFUNCTION("IMPORTRANGE(""https://docs.google.com/spreadsheets/d/1SX6NBoVAgQJ6U1MVXOaj8PK2l7WJ3RER9xtqwdhxkhw/edit?usp=sharing"",""ฉะเชิงเทรา!L296"")"),267520)</f>
        <v>267520</v>
      </c>
      <c r="M401" s="373"/>
      <c r="N401" s="373">
        <f ca="1">IFERROR(__xludf.DUMMYFUNCTION("IMPORTRANGE(""https://docs.google.com/spreadsheets/d/1SX6NBoVAgQJ6U1MVXOaj8PK2l7WJ3RER9xtqwdhxkhw/edit?usp=sharing"",""ฉะเชิงเทรา!M296"")"),244480)</f>
        <v>244480</v>
      </c>
      <c r="O401" s="373">
        <f ca="1">+IF(L401&gt;0,N401*100/L401,0)</f>
        <v>91.387559808612437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IFERROR(__xludf.DUMMYFUNCTION("IMPORTRANGE(""https://docs.google.com/spreadsheets/d/1SX6NBoVAgQJ6U1MVXOaj8PK2l7WJ3RER9xtqwdhxkhw/edit?usp=sharing"",""ฉะเชิงเทรา!I297"")"),80)</f>
        <v>80</v>
      </c>
      <c r="J402" s="371">
        <f ca="1">IFERROR(__xludf.DUMMYFUNCTION("IMPORTRANGE(""https://docs.google.com/spreadsheets/d/1SX6NBoVAgQJ6U1MVXOaj8PK2l7WJ3RER9xtqwdhxkhw/edit?usp=sharing"",""ฉะเชิงเทรา!J297"")"),80)</f>
        <v>80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IFERROR(__xludf.DUMMYFUNCTION("IMPORTRANGE(""https://docs.google.com/spreadsheets/d/1SX6NBoVAgQJ6U1MVXOaj8PK2l7WJ3RER9xtqwdhxkhw/edit?usp=sharing"",""ฉะเชิงเทรา!L298"")"),0)</f>
        <v>0</v>
      </c>
      <c r="M403" s="164"/>
      <c r="N403" s="169">
        <f ca="1">IFERROR(__xludf.DUMMYFUNCTION("IMPORTRANGE(""https://docs.google.com/spreadsheets/d/1SX6NBoVAgQJ6U1MVXOaj8PK2l7WJ3RER9xtqwdhxkhw/edit?usp=sharing"",""ฉะเชิงเทรา!M298"")"),0)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IFERROR(__xludf.DUMMYFUNCTION("IMPORTRANGE(""https://docs.google.com/spreadsheets/d/1SX6NBoVAgQJ6U1MVXOaj8PK2l7WJ3RER9xtqwdhxkhw/edit?usp=sharing"",""ฉะเชิงเทรา!L299"")"),267520)</f>
        <v>267520</v>
      </c>
      <c r="M404" s="165"/>
      <c r="N404" s="169">
        <f ca="1">IFERROR(__xludf.DUMMYFUNCTION("IMPORTRANGE(""https://docs.google.com/spreadsheets/d/1SX6NBoVAgQJ6U1MVXOaj8PK2l7WJ3RER9xtqwdhxkhw/edit?usp=sharing"",""ฉะเชิงเทรา!M299"")"),244480)</f>
        <v>244480</v>
      </c>
      <c r="O404" s="169">
        <f t="shared" ca="1" si="112"/>
        <v>91.387559808612437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IFERROR(__xludf.DUMMYFUNCTION("IMPORTRANGE(""https://docs.google.com/spreadsheets/d/1SX6NBoVAgQJ6U1MVXOaj8PK2l7WJ3RER9xtqwdhxkhw/edit?usp=sharing"",""ฉะเชิงเทรา!L300"")"),0)</f>
        <v>0</v>
      </c>
      <c r="M405" s="169"/>
      <c r="N405" s="169">
        <f ca="1">IFERROR(__xludf.DUMMYFUNCTION("IMPORTRANGE(""https://docs.google.com/spreadsheets/d/1SX6NBoVAgQJ6U1MVXOaj8PK2l7WJ3RER9xtqwdhxkhw/edit?usp=sharing"",""ฉะเชิงเทรา!M300"")"),0)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IFERROR(__xludf.DUMMYFUNCTION("IMPORTRANGE(""https://docs.google.com/spreadsheets/d/1SX6NBoVAgQJ6U1MVXOaj8PK2l7WJ3RER9xtqwdhxkhw/edit?usp=sharing"",""ฉะเชิงเทรา!L301"")"),267520)</f>
        <v>267520</v>
      </c>
      <c r="M406" s="169"/>
      <c r="N406" s="169">
        <f ca="1">IFERROR(__xludf.DUMMYFUNCTION("IMPORTRANGE(""https://docs.google.com/spreadsheets/d/1SX6NBoVAgQJ6U1MVXOaj8PK2l7WJ3RER9xtqwdhxkhw/edit?usp=sharing"",""ฉะเชิงเทรา!M301"")"),244480)</f>
        <v>244480</v>
      </c>
      <c r="O406" s="169">
        <f t="shared" ca="1" si="112"/>
        <v>91.387559808612437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IFERROR(__xludf.DUMMYFUNCTION("IMPORTRANGE(""https://docs.google.com/spreadsheets/d/1SX6NBoVAgQJ6U1MVXOaj8PK2l7WJ3RER9xtqwdhxkhw/edit?usp=sharing"",""ฉะเชิงเทรา!M302"")"),156780)</f>
        <v>156780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IFERROR(__xludf.DUMMYFUNCTION("IMPORTRANGE(""https://docs.google.com/spreadsheets/d/1SX6NBoVAgQJ6U1MVXOaj8PK2l7WJ3RER9xtqwdhxkhw/edit?usp=sharing"",""ฉะเชิงเทรา!M303"")"),73000)</f>
        <v>73000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IFERROR(__xludf.DUMMYFUNCTION("IMPORTRANGE(""https://docs.google.com/spreadsheets/d/1SX6NBoVAgQJ6U1MVXOaj8PK2l7WJ3RER9xtqwdhxkhw/edit?usp=sharing"",""ฉะเชิงเทรา!M304"")"),0)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IFERROR(__xludf.DUMMYFUNCTION("IMPORTRANGE(""https://docs.google.com/spreadsheets/d/1SX6NBoVAgQJ6U1MVXOaj8PK2l7WJ3RER9xtqwdhxkhw/edit?usp=sharing"",""ฉะเชิงเทรา!M305"")"),14700)</f>
        <v>14700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IFERROR(__xludf.DUMMYFUNCTION("IMPORTRANGE(""https://docs.google.com/spreadsheets/d/1SX6NBoVAgQJ6U1MVXOaj8PK2l7WJ3RER9xtqwdhxkhw/edit?usp=sharing"",""ฉะเชิงเทรา!J307"")"),0)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IFERROR(__xludf.DUMMYFUNCTION("IMPORTRANGE(""https://docs.google.com/spreadsheets/d/1SX6NBoVAgQJ6U1MVXOaj8PK2l7WJ3RER9xtqwdhxkhw/edit?usp=sharing"",""ฉะเชิงเทรา!J308"")"),1)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IFERROR(__xludf.DUMMYFUNCTION("IMPORTRANGE(""https://docs.google.com/spreadsheets/d/1SX6NBoVAgQJ6U1MVXOaj8PK2l7WJ3RER9xtqwdhxkhw/edit?usp=sharing"",""ฉะเชิงเทรา!J309"")"),1)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IFERROR(__xludf.DUMMYFUNCTION("IMPORTRANGE(""https://docs.google.com/spreadsheets/d/1SX6NBoVAgQJ6U1MVXOaj8PK2l7WJ3RER9xtqwdhxkhw/edit?usp=sharing"",""ฉะเชิงเทรา!J310"")"),1)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IFERROR(__xludf.DUMMYFUNCTION("IMPORTRANGE(""https://docs.google.com/spreadsheets/d/1SX6NBoVAgQJ6U1MVXOaj8PK2l7WJ3RER9xtqwdhxkhw/edit?usp=sharing"",""ฉะเชิงเทรา!I311"")"),80)</f>
        <v>80</v>
      </c>
      <c r="J416" s="201">
        <f ca="1">IFERROR(__xludf.DUMMYFUNCTION("IMPORTRANGE(""https://docs.google.com/spreadsheets/d/1SX6NBoVAgQJ6U1MVXOaj8PK2l7WJ3RER9xtqwdhxkhw/edit?usp=sharing"",""ฉะเชิงเทรา!J311"")"),80)</f>
        <v>80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IFERROR(__xludf.DUMMYFUNCTION("IMPORTRANGE(""https://docs.google.com/spreadsheets/d/1SX6NBoVAgQJ6U1MVXOaj8PK2l7WJ3RER9xtqwdhxkhw/edit?usp=sharing"",""ฉะเชิงเทรา!I312"")"),30)</f>
        <v>30</v>
      </c>
      <c r="J417" s="392">
        <f ca="1">IFERROR(__xludf.DUMMYFUNCTION("IMPORTRANGE(""https://docs.google.com/spreadsheets/d/1SX6NBoVAgQJ6U1MVXOaj8PK2l7WJ3RER9xtqwdhxkhw/edit?usp=sharing"",""ฉะเชิงเทรา!J312"")"),30)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IFERROR(__xludf.DUMMYFUNCTION("IMPORTRANGE(""https://docs.google.com/spreadsheets/d/1SX6NBoVAgQJ6U1MVXOaj8PK2l7WJ3RER9xtqwdhxkhw/edit?usp=sharing"",""ฉะเชิงเทรา!I313"")"),90)</f>
        <v>90</v>
      </c>
      <c r="J418" s="393">
        <f ca="1">IFERROR(__xludf.DUMMYFUNCTION("IMPORTRANGE(""https://docs.google.com/spreadsheets/d/1SX6NBoVAgQJ6U1MVXOaj8PK2l7WJ3RER9xtqwdhxkhw/edit?usp=sharing"",""ฉะเชิงเทรา!J313"")"),90)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IFERROR(__xludf.DUMMYFUNCTION("IMPORTRANGE(""https://docs.google.com/spreadsheets/d/1SX6NBoVAgQJ6U1MVXOaj8PK2l7WJ3RER9xtqwdhxkhw/edit?usp=sharing"",""ฉะเชิงเทรา!I314"")"),30)</f>
        <v>30</v>
      </c>
      <c r="J419" s="394">
        <f ca="1">IFERROR(__xludf.DUMMYFUNCTION("IMPORTRANGE(""https://docs.google.com/spreadsheets/d/1SX6NBoVAgQJ6U1MVXOaj8PK2l7WJ3RER9xtqwdhxkhw/edit?usp=sharing"",""ฉะเชิงเทรา!J314"")"),30)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IFERROR(__xludf.DUMMYFUNCTION("IMPORTRANGE(""https://docs.google.com/spreadsheets/d/1SX6NBoVAgQJ6U1MVXOaj8PK2l7WJ3RER9xtqwdhxkhw/edit?usp=sharing"",""ฉะเชิงเทรา!I315"")"),30)</f>
        <v>30</v>
      </c>
      <c r="J420" s="394">
        <f ca="1">IFERROR(__xludf.DUMMYFUNCTION("IMPORTRANGE(""https://docs.google.com/spreadsheets/d/1SX6NBoVAgQJ6U1MVXOaj8PK2l7WJ3RER9xtqwdhxkhw/edit?usp=sharing"",""ฉะเชิงเทรา!J315"")"),30)</f>
        <v>30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IFERROR(__xludf.DUMMYFUNCTION("IMPORTRANGE(""https://docs.google.com/spreadsheets/d/1SX6NBoVAgQJ6U1MVXOaj8PK2l7WJ3RER9xtqwdhxkhw/edit?usp=sharing"",""ฉะเชิงเทรา!I316"")"),40)</f>
        <v>40</v>
      </c>
      <c r="J421" s="392">
        <f ca="1">IFERROR(__xludf.DUMMYFUNCTION("IMPORTRANGE(""https://docs.google.com/spreadsheets/d/1SX6NBoVAgQJ6U1MVXOaj8PK2l7WJ3RER9xtqwdhxkhw/edit?usp=sharing"",""ฉะเชิงเทรา!J316"")"),40)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IFERROR(__xludf.DUMMYFUNCTION("IMPORTRANGE(""https://docs.google.com/spreadsheets/d/1SX6NBoVAgQJ6U1MVXOaj8PK2l7WJ3RER9xtqwdhxkhw/edit?usp=sharing"",""ฉะเชิงเทรา!I317"")"),120)</f>
        <v>120</v>
      </c>
      <c r="J422" s="393">
        <f ca="1">IFERROR(__xludf.DUMMYFUNCTION("IMPORTRANGE(""https://docs.google.com/spreadsheets/d/1SX6NBoVAgQJ6U1MVXOaj8PK2l7WJ3RER9xtqwdhxkhw/edit?usp=sharing"",""ฉะเชิงเทรา!J317"")"),120)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IFERROR(__xludf.DUMMYFUNCTION("IMPORTRANGE(""https://docs.google.com/spreadsheets/d/1SX6NBoVAgQJ6U1MVXOaj8PK2l7WJ3RER9xtqwdhxkhw/edit?usp=sharing"",""ฉะเชิงเทรา!I318"")"),40)</f>
        <v>40</v>
      </c>
      <c r="J423" s="394">
        <f ca="1">IFERROR(__xludf.DUMMYFUNCTION("IMPORTRANGE(""https://docs.google.com/spreadsheets/d/1SX6NBoVAgQJ6U1MVXOaj8PK2l7WJ3RER9xtqwdhxkhw/edit?usp=sharing"",""ฉะเชิงเทรา!J318"")"),40)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IFERROR(__xludf.DUMMYFUNCTION("IMPORTRANGE(""https://docs.google.com/spreadsheets/d/1SX6NBoVAgQJ6U1MVXOaj8PK2l7WJ3RER9xtqwdhxkhw/edit?usp=sharing"",""ฉะเชิงเทรา!I319"")"),40)</f>
        <v>40</v>
      </c>
      <c r="J424" s="394">
        <f ca="1">IFERROR(__xludf.DUMMYFUNCTION("IMPORTRANGE(""https://docs.google.com/spreadsheets/d/1SX6NBoVAgQJ6U1MVXOaj8PK2l7WJ3RER9xtqwdhxkhw/edit?usp=sharing"",""ฉะเชิงเทรา!J319"")"),40)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IFERROR(__xludf.DUMMYFUNCTION("IMPORTRANGE(""https://docs.google.com/spreadsheets/d/1SX6NBoVAgQJ6U1MVXOaj8PK2l7WJ3RER9xtqwdhxkhw/edit?usp=sharing"",""ฉะเชิงเทรา!I320"")"),40)</f>
        <v>40</v>
      </c>
      <c r="J425" s="394">
        <f ca="1">IFERROR(__xludf.DUMMYFUNCTION("IMPORTRANGE(""https://docs.google.com/spreadsheets/d/1SX6NBoVAgQJ6U1MVXOaj8PK2l7WJ3RER9xtqwdhxkhw/edit?usp=sharing"",""ฉะเชิงเทรา!J320"")"),40)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IFERROR(__xludf.DUMMYFUNCTION("IMPORTRANGE(""https://docs.google.com/spreadsheets/d/1SX6NBoVAgQJ6U1MVXOaj8PK2l7WJ3RER9xtqwdhxkhw/edit?usp=sharing"",""ฉะเชิงเทรา!I321"")"),10)</f>
        <v>10</v>
      </c>
      <c r="J426" s="392">
        <f ca="1">IFERROR(__xludf.DUMMYFUNCTION("IMPORTRANGE(""https://docs.google.com/spreadsheets/d/1SX6NBoVAgQJ6U1MVXOaj8PK2l7WJ3RER9xtqwdhxkhw/edit?usp=sharing"",""ฉะเชิงเทรา!J321"")"),10)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IFERROR(__xludf.DUMMYFUNCTION("IMPORTRANGE(""https://docs.google.com/spreadsheets/d/1SX6NBoVAgQJ6U1MVXOaj8PK2l7WJ3RER9xtqwdhxkhw/edit?usp=sharing"",""ฉะเชิงเทรา!I322"")"),30)</f>
        <v>30</v>
      </c>
      <c r="J427" s="393">
        <f ca="1">IFERROR(__xludf.DUMMYFUNCTION("IMPORTRANGE(""https://docs.google.com/spreadsheets/d/1SX6NBoVAgQJ6U1MVXOaj8PK2l7WJ3RER9xtqwdhxkhw/edit?usp=sharing"",""ฉะเชิงเทรา!J322"")"),30)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IFERROR(__xludf.DUMMYFUNCTION("IMPORTRANGE(""https://docs.google.com/spreadsheets/d/1SX6NBoVAgQJ6U1MVXOaj8PK2l7WJ3RER9xtqwdhxkhw/edit?usp=sharing"",""ฉะเชิงเทรา!I323"")"),10)</f>
        <v>10</v>
      </c>
      <c r="J428" s="394">
        <f ca="1">IFERROR(__xludf.DUMMYFUNCTION("IMPORTRANGE(""https://docs.google.com/spreadsheets/d/1SX6NBoVAgQJ6U1MVXOaj8PK2l7WJ3RER9xtqwdhxkhw/edit?usp=sharing"",""ฉะเชิงเทรา!J323"")"),10)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IFERROR(__xludf.DUMMYFUNCTION("IMPORTRANGE(""https://docs.google.com/spreadsheets/d/1SX6NBoVAgQJ6U1MVXOaj8PK2l7WJ3RER9xtqwdhxkhw/edit?usp=sharing"",""ฉะเชิงเทรา!I324"")"),10)</f>
        <v>10</v>
      </c>
      <c r="J429" s="394">
        <f ca="1">IFERROR(__xludf.DUMMYFUNCTION("IMPORTRANGE(""https://docs.google.com/spreadsheets/d/1SX6NBoVAgQJ6U1MVXOaj8PK2l7WJ3RER9xtqwdhxkhw/edit?usp=sharing"",""ฉะเชิงเทรา!J324"")"),10)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IFERROR(__xludf.DUMMYFUNCTION("IMPORTRANGE(""https://docs.google.com/spreadsheets/d/1SX6NBoVAgQJ6U1MVXOaj8PK2l7WJ3RER9xtqwdhxkhw/edit?usp=sharing"",""ฉะเชิงเทรา!I325"")"),70)</f>
        <v>70</v>
      </c>
      <c r="J430" s="392">
        <f ca="1">IFERROR(__xludf.DUMMYFUNCTION("IMPORTRANGE(""https://docs.google.com/spreadsheets/d/1SX6NBoVAgQJ6U1MVXOaj8PK2l7WJ3RER9xtqwdhxkhw/edit?usp=sharing"",""ฉะเชิงเทรา!J325"")"),70)</f>
        <v>70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IFERROR(__xludf.DUMMYFUNCTION("IMPORTRANGE(""https://docs.google.com/spreadsheets/d/1SX6NBoVAgQJ6U1MVXOaj8PK2l7WJ3RER9xtqwdhxkhw/edit?usp=sharing"",""ฉะเชิงเทรา!I326"")"),30)</f>
        <v>30</v>
      </c>
      <c r="J431" s="394">
        <f ca="1">IFERROR(__xludf.DUMMYFUNCTION("IMPORTRANGE(""https://docs.google.com/spreadsheets/d/1SX6NBoVAgQJ6U1MVXOaj8PK2l7WJ3RER9xtqwdhxkhw/edit?usp=sharing"",""ฉะเชิงเทรา!J326"")"),30)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IFERROR(__xludf.DUMMYFUNCTION("IMPORTRANGE(""https://docs.google.com/spreadsheets/d/1SX6NBoVAgQJ6U1MVXOaj8PK2l7WJ3RER9xtqwdhxkhw/edit?usp=sharing"",""ฉะเชิงเทรา!I327"")"),40)</f>
        <v>40</v>
      </c>
      <c r="J432" s="394">
        <f ca="1">IFERROR(__xludf.DUMMYFUNCTION("IMPORTRANGE(""https://docs.google.com/spreadsheets/d/1SX6NBoVAgQJ6U1MVXOaj8PK2l7WJ3RER9xtqwdhxkhw/edit?usp=sharing"",""ฉะเชิงเทรา!J327"")"),40)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IFERROR(__xludf.DUMMYFUNCTION("IMPORTRANGE(""https://docs.google.com/spreadsheets/d/1SX6NBoVAgQJ6U1MVXOaj8PK2l7WJ3RER9xtqwdhxkhw/edit?usp=sharing"",""ฉะเชิงเทรา!J328"")"),0)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IFERROR(__xludf.DUMMYFUNCTION("IMPORTRANGE(""https://docs.google.com/spreadsheets/d/1SX6NBoVAgQJ6U1MVXOaj8PK2l7WJ3RER9xtqwdhxkhw/edit?usp=sharing"",""ฉะเชิงเทรา!J329"")"),0)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IFERROR(__xludf.DUMMYFUNCTION("IMPORTRANGE(""https://docs.google.com/spreadsheets/d/1SX6NBoVAgQJ6U1MVXOaj8PK2l7WJ3RER9xtqwdhxkhw/edit?usp=sharing"",""ฉะเชิงเทรา!I330"")"),60)</f>
        <v>60</v>
      </c>
      <c r="J435" s="410">
        <f ca="1">IFERROR(__xludf.DUMMYFUNCTION("IMPORTRANGE(""https://docs.google.com/spreadsheets/d/1SX6NBoVAgQJ6U1MVXOaj8PK2l7WJ3RER9xtqwdhxkhw/edit?usp=sharing"",""ฉะเชิงเทรา!J330"")"),60)</f>
        <v>60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IFERROR(__xludf.DUMMYFUNCTION("IMPORTRANGE(""https://docs.google.com/spreadsheets/d/1SX6NBoVAgQJ6U1MVXOaj8PK2l7WJ3RER9xtqwdhxkhw/edit?usp=sharing"",""ฉะเชิงเทรา!L330"")"),184000)</f>
        <v>184000</v>
      </c>
      <c r="M435" s="412"/>
      <c r="N435" s="412">
        <f ca="1">IFERROR(__xludf.DUMMYFUNCTION("IMPORTRANGE(""https://docs.google.com/spreadsheets/d/1SX6NBoVAgQJ6U1MVXOaj8PK2l7WJ3RER9xtqwdhxkhw/edit?usp=sharing"",""ฉะเชิงเทรา!M330"")"),149570)</f>
        <v>149570</v>
      </c>
      <c r="O435" s="412">
        <f t="shared" ref="O435:O439" ca="1" si="114">+IF(L435&gt;0,N435*100/L435,0)</f>
        <v>81.288043478260875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IFERROR(__xludf.DUMMYFUNCTION("IMPORTRANGE(""https://docs.google.com/spreadsheets/d/1SX6NBoVAgQJ6U1MVXOaj8PK2l7WJ3RER9xtqwdhxkhw/edit?usp=sharing"",""ฉะเชิงเทรา!L331"")"),0)</f>
        <v>0</v>
      </c>
      <c r="M436" s="164"/>
      <c r="N436" s="169">
        <f ca="1">IFERROR(__xludf.DUMMYFUNCTION("IMPORTRANGE(""https://docs.google.com/spreadsheets/d/1SX6NBoVAgQJ6U1MVXOaj8PK2l7WJ3RER9xtqwdhxkhw/edit?usp=sharing"",""ฉะเชิงเทรา!M331"")"),0)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IFERROR(__xludf.DUMMYFUNCTION("IMPORTRANGE(""https://docs.google.com/spreadsheets/d/1SX6NBoVAgQJ6U1MVXOaj8PK2l7WJ3RER9xtqwdhxkhw/edit?usp=sharing"",""ฉะเชิงเทรา!L332"")"),184000)</f>
        <v>184000</v>
      </c>
      <c r="M437" s="165"/>
      <c r="N437" s="169">
        <f ca="1">IFERROR(__xludf.DUMMYFUNCTION("IMPORTRANGE(""https://docs.google.com/spreadsheets/d/1SX6NBoVAgQJ6U1MVXOaj8PK2l7WJ3RER9xtqwdhxkhw/edit?usp=sharing"",""ฉะเชิงเทรา!M332"")"),149570)</f>
        <v>149570</v>
      </c>
      <c r="O437" s="169">
        <f t="shared" ca="1" si="114"/>
        <v>81.288043478260875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IFERROR(__xludf.DUMMYFUNCTION("IMPORTRANGE(""https://docs.google.com/spreadsheets/d/1SX6NBoVAgQJ6U1MVXOaj8PK2l7WJ3RER9xtqwdhxkhw/edit?usp=sharing"",""ฉะเชิงเทรา!L333"")"),0)</f>
        <v>0</v>
      </c>
      <c r="M438" s="169"/>
      <c r="N438" s="169">
        <f ca="1">IFERROR(__xludf.DUMMYFUNCTION("IMPORTRANGE(""https://docs.google.com/spreadsheets/d/1SX6NBoVAgQJ6U1MVXOaj8PK2l7WJ3RER9xtqwdhxkhw/edit?usp=sharing"",""ฉะเชิงเทรา!M333"")"),0)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IFERROR(__xludf.DUMMYFUNCTION("IMPORTRANGE(""https://docs.google.com/spreadsheets/d/1SX6NBoVAgQJ6U1MVXOaj8PK2l7WJ3RER9xtqwdhxkhw/edit?usp=sharing"",""ฉะเชิงเทรา!L334"")"),184000)</f>
        <v>184000</v>
      </c>
      <c r="M439" s="169"/>
      <c r="N439" s="169">
        <f ca="1">IFERROR(__xludf.DUMMYFUNCTION("IMPORTRANGE(""https://docs.google.com/spreadsheets/d/1SX6NBoVAgQJ6U1MVXOaj8PK2l7WJ3RER9xtqwdhxkhw/edit?usp=sharing"",""ฉะเชิงเทรา!M334"")"),149570)</f>
        <v>149570</v>
      </c>
      <c r="O439" s="169">
        <f t="shared" ca="1" si="114"/>
        <v>81.288043478260875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IFERROR(__xludf.DUMMYFUNCTION("IMPORTRANGE(""https://docs.google.com/spreadsheets/d/1SX6NBoVAgQJ6U1MVXOaj8PK2l7WJ3RER9xtqwdhxkhw/edit?usp=sharing"",""ฉะเชิงเทรา!M335"")"),133200)</f>
        <v>133200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IFERROR(__xludf.DUMMYFUNCTION("IMPORTRANGE(""https://docs.google.com/spreadsheets/d/1SX6NBoVAgQJ6U1MVXOaj8PK2l7WJ3RER9xtqwdhxkhw/edit?usp=sharing"",""ฉะเชิงเทรา!M336"")"),0)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IFERROR(__xludf.DUMMYFUNCTION("IMPORTRANGE(""https://docs.google.com/spreadsheets/d/1SX6NBoVAgQJ6U1MVXOaj8PK2l7WJ3RER9xtqwdhxkhw/edit?usp=sharing"",""ฉะเชิงเทรา!M337"")"),0)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IFERROR(__xludf.DUMMYFUNCTION("IMPORTRANGE(""https://docs.google.com/spreadsheets/d/1SX6NBoVAgQJ6U1MVXOaj8PK2l7WJ3RER9xtqwdhxkhw/edit?usp=sharing"",""ฉะเชิงเทรา!M338"")"),16370)</f>
        <v>16370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IFERROR(__xludf.DUMMYFUNCTION("IMPORTRANGE(""https://docs.google.com/spreadsheets/d/1SX6NBoVAgQJ6U1MVXOaj8PK2l7WJ3RER9xtqwdhxkhw/edit?usp=sharing"",""ฉะเชิงเทรา!J340"")"),0)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IFERROR(__xludf.DUMMYFUNCTION("IMPORTRANGE(""https://docs.google.com/spreadsheets/d/1SX6NBoVAgQJ6U1MVXOaj8PK2l7WJ3RER9xtqwdhxkhw/edit?usp=sharing"",""ฉะเชิงเทรา!J341"")"),1)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IFERROR(__xludf.DUMMYFUNCTION("IMPORTRANGE(""https://docs.google.com/spreadsheets/d/1SX6NBoVAgQJ6U1MVXOaj8PK2l7WJ3RER9xtqwdhxkhw/edit?usp=sharing"",""ฉะเชิงเทรา!J342"")"),1)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IFERROR(__xludf.DUMMYFUNCTION("IMPORTRANGE(""https://docs.google.com/spreadsheets/d/1SX6NBoVAgQJ6U1MVXOaj8PK2l7WJ3RER9xtqwdhxkhw/edit?usp=sharing"",""ฉะเชิงเทรา!J343"")"),1)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IFERROR(__xludf.DUMMYFUNCTION("IMPORTRANGE(""https://docs.google.com/spreadsheets/d/1SX6NBoVAgQJ6U1MVXOaj8PK2l7WJ3RER9xtqwdhxkhw/edit?usp=sharing"",""ฉะเชิงเทรา!I344"")"),60)</f>
        <v>60</v>
      </c>
      <c r="J449" s="201">
        <f ca="1">IFERROR(__xludf.DUMMYFUNCTION("IMPORTRANGE(""https://docs.google.com/spreadsheets/d/1SX6NBoVAgQJ6U1MVXOaj8PK2l7WJ3RER9xtqwdhxkhw/edit?usp=sharing"",""ฉะเชิงเทรา!J344"")"),60)</f>
        <v>60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IFERROR(__xludf.DUMMYFUNCTION("IMPORTRANGE(""https://docs.google.com/spreadsheets/d/1SX6NBoVAgQJ6U1MVXOaj8PK2l7WJ3RER9xtqwdhxkhw/edit?usp=sharing"",""ฉะเชิงเทรา!I345"")"),40)</f>
        <v>40</v>
      </c>
      <c r="J450" s="189">
        <f ca="1">IFERROR(__xludf.DUMMYFUNCTION("IMPORTRANGE(""https://docs.google.com/spreadsheets/d/1SX6NBoVAgQJ6U1MVXOaj8PK2l7WJ3RER9xtqwdhxkhw/edit?usp=sharing"",""ฉะเชิงเทรา!J345"")"),40)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IFERROR(__xludf.DUMMYFUNCTION("IMPORTRANGE(""https://docs.google.com/spreadsheets/d/1SX6NBoVAgQJ6U1MVXOaj8PK2l7WJ3RER9xtqwdhxkhw/edit?usp=sharing"",""ฉะเชิงเทรา!I346"")"),20)</f>
        <v>20</v>
      </c>
      <c r="J451" s="188">
        <f ca="1">IFERROR(__xludf.DUMMYFUNCTION("IMPORTRANGE(""https://docs.google.com/spreadsheets/d/1SX6NBoVAgQJ6U1MVXOaj8PK2l7WJ3RER9xtqwdhxkhw/edit?usp=sharing"",""ฉะเชิงเทรา!J346"")"),20)</f>
        <v>20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IFERROR(__xludf.DUMMYFUNCTION("IMPORTRANGE(""https://docs.google.com/spreadsheets/d/1SX6NBoVAgQJ6U1MVXOaj8PK2l7WJ3RER9xtqwdhxkhw/edit?usp=sharing"",""ฉะเชิงเทรา!I347"")"),0)</f>
        <v>0</v>
      </c>
      <c r="J452" s="188">
        <f ca="1">IFERROR(__xludf.DUMMYFUNCTION("IMPORTRANGE(""https://docs.google.com/spreadsheets/d/1SX6NBoVAgQJ6U1MVXOaj8PK2l7WJ3RER9xtqwdhxkhw/edit?usp=sharing"",""ฉะเชิงเทรา!J347"")"),0)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IFERROR(__xludf.DUMMYFUNCTION("IMPORTRANGE(""https://docs.google.com/spreadsheets/d/1SX6NBoVAgQJ6U1MVXOaj8PK2l7WJ3RER9xtqwdhxkhw/edit?usp=sharing"",""ฉะเชิงเทรา!J348"")"),0)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IFERROR(__xludf.DUMMYFUNCTION("IMPORTRANGE(""https://docs.google.com/spreadsheets/d/1SX6NBoVAgQJ6U1MVXOaj8PK2l7WJ3RER9xtqwdhxkhw/edit?usp=sharing"",""ฉะเชิงเทรา!J349"")"),0)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IFERROR(__xludf.DUMMYFUNCTION("IMPORTRANGE(""https://docs.google.com/spreadsheets/d/1SX6NBoVAgQJ6U1MVXOaj8PK2l7WJ3RER9xtqwdhxkhw/edit?usp=sharing"",""ฉะเชิงเทรา!I350"")"),24902)</f>
        <v>24902</v>
      </c>
      <c r="J455" s="371">
        <f ca="1">IFERROR(__xludf.DUMMYFUNCTION("IMPORTRANGE(""https://docs.google.com/spreadsheets/d/1SX6NBoVAgQJ6U1MVXOaj8PK2l7WJ3RER9xtqwdhxkhw/edit?usp=sharing"",""ฉะเชิงเทรา!J350"")"),0)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IFERROR(__xludf.DUMMYFUNCTION("IMPORTRANGE(""https://docs.google.com/spreadsheets/d/1SX6NBoVAgQJ6U1MVXOaj8PK2l7WJ3RER9xtqwdhxkhw/edit?usp=sharing"",""ฉะเชิงเทรา!L350"")"),369379)</f>
        <v>369379</v>
      </c>
      <c r="M455" s="373"/>
      <c r="N455" s="373">
        <f ca="1">IFERROR(__xludf.DUMMYFUNCTION("IMPORTRANGE(""https://docs.google.com/spreadsheets/d/1SX6NBoVAgQJ6U1MVXOaj8PK2l7WJ3RER9xtqwdhxkhw/edit?usp=sharing"",""ฉะเชิงเทรา!M350"")"),101481)</f>
        <v>101481</v>
      </c>
      <c r="O455" s="373">
        <f t="shared" ref="O455:O459" ca="1" si="116">+IF(L455&gt;0,N455*100/L455,0)</f>
        <v>27.473408071384675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IFERROR(__xludf.DUMMYFUNCTION("IMPORTRANGE(""https://docs.google.com/spreadsheets/d/1SX6NBoVAgQJ6U1MVXOaj8PK2l7WJ3RER9xtqwdhxkhw/edit?usp=sharing"",""ฉะเชิงเทรา!L351"")"),0)</f>
        <v>0</v>
      </c>
      <c r="M456" s="164"/>
      <c r="N456" s="169">
        <f ca="1">IFERROR(__xludf.DUMMYFUNCTION("IMPORTRANGE(""https://docs.google.com/spreadsheets/d/1SX6NBoVAgQJ6U1MVXOaj8PK2l7WJ3RER9xtqwdhxkhw/edit?usp=sharing"",""ฉะเชิงเทรา!M351"")"),0)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IFERROR(__xludf.DUMMYFUNCTION("IMPORTRANGE(""https://docs.google.com/spreadsheets/d/1SX6NBoVAgQJ6U1MVXOaj8PK2l7WJ3RER9xtqwdhxkhw/edit?usp=sharing"",""ฉะเชิงเทรา!L352"")"),369379)</f>
        <v>369379</v>
      </c>
      <c r="M457" s="165"/>
      <c r="N457" s="169">
        <f ca="1">IFERROR(__xludf.DUMMYFUNCTION("IMPORTRANGE(""https://docs.google.com/spreadsheets/d/1SX6NBoVAgQJ6U1MVXOaj8PK2l7WJ3RER9xtqwdhxkhw/edit?usp=sharing"",""ฉะเชิงเทรา!M352"")"),101481)</f>
        <v>101481</v>
      </c>
      <c r="O457" s="169">
        <f t="shared" ca="1" si="116"/>
        <v>27.473408071384675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IFERROR(__xludf.DUMMYFUNCTION("IMPORTRANGE(""https://docs.google.com/spreadsheets/d/1SX6NBoVAgQJ6U1MVXOaj8PK2l7WJ3RER9xtqwdhxkhw/edit?usp=sharing"",""ฉะเชิงเทรา!L353"")"),0)</f>
        <v>0</v>
      </c>
      <c r="M458" s="169"/>
      <c r="N458" s="169">
        <f ca="1">IFERROR(__xludf.DUMMYFUNCTION("IMPORTRANGE(""https://docs.google.com/spreadsheets/d/1SX6NBoVAgQJ6U1MVXOaj8PK2l7WJ3RER9xtqwdhxkhw/edit?usp=sharing"",""ฉะเชิงเทรา!M353"")"),0)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IFERROR(__xludf.DUMMYFUNCTION("IMPORTRANGE(""https://docs.google.com/spreadsheets/d/1SX6NBoVAgQJ6U1MVXOaj8PK2l7WJ3RER9xtqwdhxkhw/edit?usp=sharing"",""ฉะเชิงเทรา!L354"")"),369379)</f>
        <v>369379</v>
      </c>
      <c r="M459" s="169"/>
      <c r="N459" s="169">
        <f ca="1">IFERROR(__xludf.DUMMYFUNCTION("IMPORTRANGE(""https://docs.google.com/spreadsheets/d/1SX6NBoVAgQJ6U1MVXOaj8PK2l7WJ3RER9xtqwdhxkhw/edit?usp=sharing"",""ฉะเชิงเทรา!M354"")"),101481)</f>
        <v>101481</v>
      </c>
      <c r="O459" s="169">
        <f t="shared" ca="1" si="116"/>
        <v>27.473408071384675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IFERROR(__xludf.DUMMYFUNCTION("IMPORTRANGE(""https://docs.google.com/spreadsheets/d/1SX6NBoVAgQJ6U1MVXOaj8PK2l7WJ3RER9xtqwdhxkhw/edit?usp=sharing"",""ฉะเชิงเทรา!M355"")"),0)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IFERROR(__xludf.DUMMYFUNCTION("IMPORTRANGE(""https://docs.google.com/spreadsheets/d/1SX6NBoVAgQJ6U1MVXOaj8PK2l7WJ3RER9xtqwdhxkhw/edit?usp=sharing"",""ฉะเชิงเทรา!M356"")"),0)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IFERROR(__xludf.DUMMYFUNCTION("IMPORTRANGE(""https://docs.google.com/spreadsheets/d/1SX6NBoVAgQJ6U1MVXOaj8PK2l7WJ3RER9xtqwdhxkhw/edit?usp=sharing"",""ฉะเชิงเทรา!M357"")"),0)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IFERROR(__xludf.DUMMYFUNCTION("IMPORTRANGE(""https://docs.google.com/spreadsheets/d/1SX6NBoVAgQJ6U1MVXOaj8PK2l7WJ3RER9xtqwdhxkhw/edit?usp=sharing"",""ฉะเชิงเทรา!M358"")"),101481)</f>
        <v>101481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IFERROR(__xludf.DUMMYFUNCTION("IMPORTRANGE(""https://docs.google.com/spreadsheets/d/1SX6NBoVAgQJ6U1MVXOaj8PK2l7WJ3RER9xtqwdhxkhw/edit?usp=sharing"",""ฉะเชิงเทรา!I359"")"),24902)</f>
        <v>24902</v>
      </c>
      <c r="J464" s="267">
        <f ca="1">IFERROR(__xludf.DUMMYFUNCTION("IMPORTRANGE(""https://docs.google.com/spreadsheets/d/1SX6NBoVAgQJ6U1MVXOaj8PK2l7WJ3RER9xtqwdhxkhw/edit?usp=sharing"",""ฉะเชิงเทรา!J359"")"),0)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IFERROR(__xludf.DUMMYFUNCTION("IMPORTRANGE(""https://docs.google.com/spreadsheets/d/1SX6NBoVAgQJ6U1MVXOaj8PK2l7WJ3RER9xtqwdhxkhw/edit?usp=sharing"",""ฉะเชิงเทรา!I360"")"),24902)</f>
        <v>24902</v>
      </c>
      <c r="J465" s="420">
        <f ca="1">IFERROR(__xludf.DUMMYFUNCTION("IMPORTRANGE(""https://docs.google.com/spreadsheets/d/1SX6NBoVAgQJ6U1MVXOaj8PK2l7WJ3RER9xtqwdhxkhw/edit?usp=sharing"",""ฉะเชิงเทรา!J360"")"),24888.5155)</f>
        <v>24888.515500000001</v>
      </c>
      <c r="K465" s="202">
        <f t="shared" ca="1" si="117"/>
        <v>99.945849730945312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IFERROR(__xludf.DUMMYFUNCTION("IMPORTRANGE(""https://docs.google.com/spreadsheets/d/1SX6NBoVAgQJ6U1MVXOaj8PK2l7WJ3RER9xtqwdhxkhw/edit?usp=sharing"",""ฉะเชิงเทรา!I361"")"),2367)</f>
        <v>2367</v>
      </c>
      <c r="J466" s="420">
        <f ca="1">IFERROR(__xludf.DUMMYFUNCTION("IMPORTRANGE(""https://docs.google.com/spreadsheets/d/1SX6NBoVAgQJ6U1MVXOaj8PK2l7WJ3RER9xtqwdhxkhw/edit?usp=sharing"",""ฉะเชิงเทรา!J361"")"),2366)</f>
        <v>2366</v>
      </c>
      <c r="K466" s="202">
        <f t="shared" ca="1" si="117"/>
        <v>99.957752429235313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IFERROR(__xludf.DUMMYFUNCTION("IMPORTRANGE(""https://docs.google.com/spreadsheets/d/1SX6NBoVAgQJ6U1MVXOaj8PK2l7WJ3RER9xtqwdhxkhw/edit?usp=sharing"",""ฉะเชิงเทรา!I362"")"),0)</f>
        <v>0</v>
      </c>
      <c r="J467" s="189">
        <f ca="1">IFERROR(__xludf.DUMMYFUNCTION("IMPORTRANGE(""https://docs.google.com/spreadsheets/d/1SX6NBoVAgQJ6U1MVXOaj8PK2l7WJ3RER9xtqwdhxkhw/edit?usp=sharing"",""ฉะเชิงเทรา!J362"")"),19699.075)</f>
        <v>19699.075000000001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IFERROR(__xludf.DUMMYFUNCTION("IMPORTRANGE(""https://docs.google.com/spreadsheets/d/1SX6NBoVAgQJ6U1MVXOaj8PK2l7WJ3RER9xtqwdhxkhw/edit?usp=sharing"",""ฉะเชิงเทรา!I363"")"),0)</f>
        <v>0</v>
      </c>
      <c r="J468" s="189">
        <f ca="1">IFERROR(__xludf.DUMMYFUNCTION("IMPORTRANGE(""https://docs.google.com/spreadsheets/d/1SX6NBoVAgQJ6U1MVXOaj8PK2l7WJ3RER9xtqwdhxkhw/edit?usp=sharing"",""ฉะเชิงเทรา!J363"")"),1818)</f>
        <v>1818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IFERROR(__xludf.DUMMYFUNCTION("IMPORTRANGE(""https://docs.google.com/spreadsheets/d/1SX6NBoVAgQJ6U1MVXOaj8PK2l7WJ3RER9xtqwdhxkhw/edit?usp=sharing"",""ฉะเชิงเทรา!I364"")"),0)</f>
        <v>0</v>
      </c>
      <c r="J469" s="189">
        <f ca="1">IFERROR(__xludf.DUMMYFUNCTION("IMPORTRANGE(""https://docs.google.com/spreadsheets/d/1SX6NBoVAgQJ6U1MVXOaj8PK2l7WJ3RER9xtqwdhxkhw/edit?usp=sharing"",""ฉะเชิงเทรา!J364"")"),2329.423)</f>
        <v>2329.4229999999998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IFERROR(__xludf.DUMMYFUNCTION("IMPORTRANGE(""https://docs.google.com/spreadsheets/d/1SX6NBoVAgQJ6U1MVXOaj8PK2l7WJ3RER9xtqwdhxkhw/edit?usp=sharing"",""ฉะเชิงเทรา!I365"")"),0)</f>
        <v>0</v>
      </c>
      <c r="J470" s="189">
        <f ca="1">IFERROR(__xludf.DUMMYFUNCTION("IMPORTRANGE(""https://docs.google.com/spreadsheets/d/1SX6NBoVAgQJ6U1MVXOaj8PK2l7WJ3RER9xtqwdhxkhw/edit?usp=sharing"",""ฉะเชิงเทรา!J365"")"),319)</f>
        <v>319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IFERROR(__xludf.DUMMYFUNCTION("IMPORTRANGE(""https://docs.google.com/spreadsheets/d/1SX6NBoVAgQJ6U1MVXOaj8PK2l7WJ3RER9xtqwdhxkhw/edit?usp=sharing"",""ฉะเชิงเทรา!I366"")"),0)</f>
        <v>0</v>
      </c>
      <c r="J471" s="189">
        <f ca="1">IFERROR(__xludf.DUMMYFUNCTION("IMPORTRANGE(""https://docs.google.com/spreadsheets/d/1SX6NBoVAgQJ6U1MVXOaj8PK2l7WJ3RER9xtqwdhxkhw/edit?usp=sharing"",""ฉะเชิงเทรา!J366"")"),2860.0175)</f>
        <v>2860.0174999999999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IFERROR(__xludf.DUMMYFUNCTION("IMPORTRANGE(""https://docs.google.com/spreadsheets/d/1SX6NBoVAgQJ6U1MVXOaj8PK2l7WJ3RER9xtqwdhxkhw/edit?usp=sharing"",""ฉะเชิงเทรา!I367"")"),0)</f>
        <v>0</v>
      </c>
      <c r="J472" s="189">
        <f ca="1">IFERROR(__xludf.DUMMYFUNCTION("IMPORTRANGE(""https://docs.google.com/spreadsheets/d/1SX6NBoVAgQJ6U1MVXOaj8PK2l7WJ3RER9xtqwdhxkhw/edit?usp=sharing"",""ฉะเชิงเทรา!J367"")"),229)</f>
        <v>229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IFERROR(__xludf.DUMMYFUNCTION("IMPORTRANGE(""https://docs.google.com/spreadsheets/d/1SX6NBoVAgQJ6U1MVXOaj8PK2l7WJ3RER9xtqwdhxkhw/edit?usp=sharing"",""ฉะเชิงเทรา!I368"")"),24902)</f>
        <v>24902</v>
      </c>
      <c r="J473" s="420">
        <f ca="1">IFERROR(__xludf.DUMMYFUNCTION("IMPORTRANGE(""https://docs.google.com/spreadsheets/d/1SX6NBoVAgQJ6U1MVXOaj8PK2l7WJ3RER9xtqwdhxkhw/edit?usp=sharing"",""ฉะเชิงเทรา!J368"")"),24888.5049999999)</f>
        <v>24888.504999999899</v>
      </c>
      <c r="K473" s="202">
        <f t="shared" ca="1" si="117"/>
        <v>99.945807565656963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IFERROR(__xludf.DUMMYFUNCTION("IMPORTRANGE(""https://docs.google.com/spreadsheets/d/1SX6NBoVAgQJ6U1MVXOaj8PK2l7WJ3RER9xtqwdhxkhw/edit?usp=sharing"",""ฉะเชิงเทรา!I369"")"),2367)</f>
        <v>2367</v>
      </c>
      <c r="J474" s="420">
        <f ca="1">IFERROR(__xludf.DUMMYFUNCTION("IMPORTRANGE(""https://docs.google.com/spreadsheets/d/1SX6NBoVAgQJ6U1MVXOaj8PK2l7WJ3RER9xtqwdhxkhw/edit?usp=sharing"",""ฉะเชิงเทรา!J369"")"),2366)</f>
        <v>2366</v>
      </c>
      <c r="K474" s="163">
        <f t="shared" ca="1" si="117"/>
        <v>99.957752429235313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IFERROR(__xludf.DUMMYFUNCTION("IMPORTRANGE(""https://docs.google.com/spreadsheets/d/1SX6NBoVAgQJ6U1MVXOaj8PK2l7WJ3RER9xtqwdhxkhw/edit?usp=sharing"",""ฉะเชิงเทรา!I370"")"),0)</f>
        <v>0</v>
      </c>
      <c r="J475" s="189">
        <f ca="1">IFERROR(__xludf.DUMMYFUNCTION("IMPORTRANGE(""https://docs.google.com/spreadsheets/d/1SX6NBoVAgQJ6U1MVXOaj8PK2l7WJ3RER9xtqwdhxkhw/edit?usp=sharing"",""ฉะเชิงเทรา!J370"")"),19769.5025)</f>
        <v>19769.502499999999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IFERROR(__xludf.DUMMYFUNCTION("IMPORTRANGE(""https://docs.google.com/spreadsheets/d/1SX6NBoVAgQJ6U1MVXOaj8PK2l7WJ3RER9xtqwdhxkhw/edit?usp=sharing"",""ฉะเชิงเทรา!I371"")"),0)</f>
        <v>0</v>
      </c>
      <c r="J476" s="189">
        <f ca="1">IFERROR(__xludf.DUMMYFUNCTION("IMPORTRANGE(""https://docs.google.com/spreadsheets/d/1SX6NBoVAgQJ6U1MVXOaj8PK2l7WJ3RER9xtqwdhxkhw/edit?usp=sharing"",""ฉะเชิงเทรา!J371"")"),1841)</f>
        <v>1841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IFERROR(__xludf.DUMMYFUNCTION("IMPORTRANGE(""https://docs.google.com/spreadsheets/d/1SX6NBoVAgQJ6U1MVXOaj8PK2l7WJ3RER9xtqwdhxkhw/edit?usp=sharing"",""ฉะเชิงเทรา!I372"")"),0)</f>
        <v>0</v>
      </c>
      <c r="J477" s="189">
        <f ca="1">IFERROR(__xludf.DUMMYFUNCTION("IMPORTRANGE(""https://docs.google.com/spreadsheets/d/1SX6NBoVAgQJ6U1MVXOaj8PK2l7WJ3RER9xtqwdhxkhw/edit?usp=sharing"",""ฉะเชิงเทรา!J372"")"),2211.09)</f>
        <v>2211.09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IFERROR(__xludf.DUMMYFUNCTION("IMPORTRANGE(""https://docs.google.com/spreadsheets/d/1SX6NBoVAgQJ6U1MVXOaj8PK2l7WJ3RER9xtqwdhxkhw/edit?usp=sharing"",""ฉะเชิงเทรา!I373"")"),0)</f>
        <v>0</v>
      </c>
      <c r="J478" s="189">
        <f ca="1">IFERROR(__xludf.DUMMYFUNCTION("IMPORTRANGE(""https://docs.google.com/spreadsheets/d/1SX6NBoVAgQJ6U1MVXOaj8PK2l7WJ3RER9xtqwdhxkhw/edit?usp=sharing"",""ฉะเชิงเทรา!J373"")"),294)</f>
        <v>294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IFERROR(__xludf.DUMMYFUNCTION("IMPORTRANGE(""https://docs.google.com/spreadsheets/d/1SX6NBoVAgQJ6U1MVXOaj8PK2l7WJ3RER9xtqwdhxkhw/edit?usp=sharing"",""ฉะเชิงเทรา!I374"")"),0)</f>
        <v>0</v>
      </c>
      <c r="J479" s="189">
        <f ca="1">IFERROR(__xludf.DUMMYFUNCTION("IMPORTRANGE(""https://docs.google.com/spreadsheets/d/1SX6NBoVAgQJ6U1MVXOaj8PK2l7WJ3RER9xtqwdhxkhw/edit?usp=sharing"",""ฉะเชิงเทรา!J374"")"),2907.9125)</f>
        <v>2907.9124999999999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IFERROR(__xludf.DUMMYFUNCTION("IMPORTRANGE(""https://docs.google.com/spreadsheets/d/1SX6NBoVAgQJ6U1MVXOaj8PK2l7WJ3RER9xtqwdhxkhw/edit?usp=sharing"",""ฉะเชิงเทรา!I375"")"),0)</f>
        <v>0</v>
      </c>
      <c r="J480" s="189">
        <f ca="1">IFERROR(__xludf.DUMMYFUNCTION("IMPORTRANGE(""https://docs.google.com/spreadsheets/d/1SX6NBoVAgQJ6U1MVXOaj8PK2l7WJ3RER9xtqwdhxkhw/edit?usp=sharing"",""ฉะเชิงเทรา!J375"")"),231)</f>
        <v>231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IFERROR(__xludf.DUMMYFUNCTION("IMPORTRANGE(""https://docs.google.com/spreadsheets/d/1SX6NBoVAgQJ6U1MVXOaj8PK2l7WJ3RER9xtqwdhxkhw/edit?usp=sharing"",""ฉะเชิงเทรา!I376"")"),24902)</f>
        <v>24902</v>
      </c>
      <c r="J481" s="420">
        <f ca="1">IFERROR(__xludf.DUMMYFUNCTION("IMPORTRANGE(""https://docs.google.com/spreadsheets/d/1SX6NBoVAgQJ6U1MVXOaj8PK2l7WJ3RER9xtqwdhxkhw/edit?usp=sharing"",""ฉะเชิงเทรา!J376"")"),0)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IFERROR(__xludf.DUMMYFUNCTION("IMPORTRANGE(""https://docs.google.com/spreadsheets/d/1SX6NBoVAgQJ6U1MVXOaj8PK2l7WJ3RER9xtqwdhxkhw/edit?usp=sharing"",""ฉะเชิงเทรา!I377"")"),2367)</f>
        <v>2367</v>
      </c>
      <c r="J482" s="420">
        <f ca="1">IFERROR(__xludf.DUMMYFUNCTION("IMPORTRANGE(""https://docs.google.com/spreadsheets/d/1SX6NBoVAgQJ6U1MVXOaj8PK2l7WJ3RER9xtqwdhxkhw/edit?usp=sharing"",""ฉะเชิงเทรา!J377"")"),0)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IFERROR(__xludf.DUMMYFUNCTION("IMPORTRANGE(""https://docs.google.com/spreadsheets/d/1SX6NBoVAgQJ6U1MVXOaj8PK2l7WJ3RER9xtqwdhxkhw/edit?usp=sharing"",""ฉะเชิงเทรา!I378"")"),0)</f>
        <v>0</v>
      </c>
      <c r="J483" s="189">
        <f ca="1">IFERROR(__xludf.DUMMYFUNCTION("IMPORTRANGE(""https://docs.google.com/spreadsheets/d/1SX6NBoVAgQJ6U1MVXOaj8PK2l7WJ3RER9xtqwdhxkhw/edit?usp=sharing"",""ฉะเชิงเทรา!J378"")"),0)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IFERROR(__xludf.DUMMYFUNCTION("IMPORTRANGE(""https://docs.google.com/spreadsheets/d/1SX6NBoVAgQJ6U1MVXOaj8PK2l7WJ3RER9xtqwdhxkhw/edit?usp=sharing"",""ฉะเชิงเทรา!I379"")"),0)</f>
        <v>0</v>
      </c>
      <c r="J484" s="189">
        <f ca="1">IFERROR(__xludf.DUMMYFUNCTION("IMPORTRANGE(""https://docs.google.com/spreadsheets/d/1SX6NBoVAgQJ6U1MVXOaj8PK2l7WJ3RER9xtqwdhxkhw/edit?usp=sharing"",""ฉะเชิงเทรา!J379"")"),0)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IFERROR(__xludf.DUMMYFUNCTION("IMPORTRANGE(""https://docs.google.com/spreadsheets/d/1SX6NBoVAgQJ6U1MVXOaj8PK2l7WJ3RER9xtqwdhxkhw/edit?usp=sharing"",""ฉะเชิงเทรา!I380"")"),0)</f>
        <v>0</v>
      </c>
      <c r="J485" s="189">
        <f ca="1">IFERROR(__xludf.DUMMYFUNCTION("IMPORTRANGE(""https://docs.google.com/spreadsheets/d/1SX6NBoVAgQJ6U1MVXOaj8PK2l7WJ3RER9xtqwdhxkhw/edit?usp=sharing"",""ฉะเชิงเทรา!J380"")"),0)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IFERROR(__xludf.DUMMYFUNCTION("IMPORTRANGE(""https://docs.google.com/spreadsheets/d/1SX6NBoVAgQJ6U1MVXOaj8PK2l7WJ3RER9xtqwdhxkhw/edit?usp=sharing"",""ฉะเชิงเทรา!I381"")"),0)</f>
        <v>0</v>
      </c>
      <c r="J486" s="189">
        <f ca="1">IFERROR(__xludf.DUMMYFUNCTION("IMPORTRANGE(""https://docs.google.com/spreadsheets/d/1SX6NBoVAgQJ6U1MVXOaj8PK2l7WJ3RER9xtqwdhxkhw/edit?usp=sharing"",""ฉะเชิงเทรา!J381"")"),0)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IFERROR(__xludf.DUMMYFUNCTION("IMPORTRANGE(""https://docs.google.com/spreadsheets/d/1SX6NBoVAgQJ6U1MVXOaj8PK2l7WJ3RER9xtqwdhxkhw/edit?usp=sharing"",""ฉะเชิงเทรา!I382"")"),0)</f>
        <v>0</v>
      </c>
      <c r="J487" s="420">
        <f ca="1">IFERROR(__xludf.DUMMYFUNCTION("IMPORTRANGE(""https://docs.google.com/spreadsheets/d/1SX6NBoVAgQJ6U1MVXOaj8PK2l7WJ3RER9xtqwdhxkhw/edit?usp=sharing"",""ฉะเชิงเทรา!J382"")"),0)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IFERROR(__xludf.DUMMYFUNCTION("IMPORTRANGE(""https://docs.google.com/spreadsheets/d/1SX6NBoVAgQJ6U1MVXOaj8PK2l7WJ3RER9xtqwdhxkhw/edit?usp=sharing"",""ฉะเชิงเทรา!I383"")"),0)</f>
        <v>0</v>
      </c>
      <c r="J488" s="420">
        <f ca="1">IFERROR(__xludf.DUMMYFUNCTION("IMPORTRANGE(""https://docs.google.com/spreadsheets/d/1SX6NBoVAgQJ6U1MVXOaj8PK2l7WJ3RER9xtqwdhxkhw/edit?usp=sharing"",""ฉะเชิงเทรา!J383"")"),0)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IFERROR(__xludf.DUMMYFUNCTION("IMPORTRANGE(""https://docs.google.com/spreadsheets/d/1SX6NBoVAgQJ6U1MVXOaj8PK2l7WJ3RER9xtqwdhxkhw/edit?usp=sharing"",""ฉะเชิงเทรา!I384"")"),0)</f>
        <v>0</v>
      </c>
      <c r="J489" s="189">
        <f ca="1">IFERROR(__xludf.DUMMYFUNCTION("IMPORTRANGE(""https://docs.google.com/spreadsheets/d/1SX6NBoVAgQJ6U1MVXOaj8PK2l7WJ3RER9xtqwdhxkhw/edit?usp=sharing"",""ฉะเชิงเทรา!J384"")"),0)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IFERROR(__xludf.DUMMYFUNCTION("IMPORTRANGE(""https://docs.google.com/spreadsheets/d/1SX6NBoVAgQJ6U1MVXOaj8PK2l7WJ3RER9xtqwdhxkhw/edit?usp=sharing"",""ฉะเชิงเทรา!I385"")"),0)</f>
        <v>0</v>
      </c>
      <c r="J490" s="189">
        <f ca="1">IFERROR(__xludf.DUMMYFUNCTION("IMPORTRANGE(""https://docs.google.com/spreadsheets/d/1SX6NBoVAgQJ6U1MVXOaj8PK2l7WJ3RER9xtqwdhxkhw/edit?usp=sharing"",""ฉะเชิงเทรา!J385"")"),0)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IFERROR(__xludf.DUMMYFUNCTION("IMPORTRANGE(""https://docs.google.com/spreadsheets/d/1SX6NBoVAgQJ6U1MVXOaj8PK2l7WJ3RER9xtqwdhxkhw/edit?usp=sharing"",""ฉะเชิงเทรา!I386"")"),0)</f>
        <v>0</v>
      </c>
      <c r="J491" s="189">
        <f ca="1">IFERROR(__xludf.DUMMYFUNCTION("IMPORTRANGE(""https://docs.google.com/spreadsheets/d/1SX6NBoVAgQJ6U1MVXOaj8PK2l7WJ3RER9xtqwdhxkhw/edit?usp=sharing"",""ฉะเชิงเทรา!J386"")"),0)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IFERROR(__xludf.DUMMYFUNCTION("IMPORTRANGE(""https://docs.google.com/spreadsheets/d/1SX6NBoVAgQJ6U1MVXOaj8PK2l7WJ3RER9xtqwdhxkhw/edit?usp=sharing"",""ฉะเชิงเทรา!I387"")"),0)</f>
        <v>0</v>
      </c>
      <c r="J492" s="189">
        <f ca="1">IFERROR(__xludf.DUMMYFUNCTION("IMPORTRANGE(""https://docs.google.com/spreadsheets/d/1SX6NBoVAgQJ6U1MVXOaj8PK2l7WJ3RER9xtqwdhxkhw/edit?usp=sharing"",""ฉะเชิงเทรา!J387"")"),0)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IFERROR(__xludf.DUMMYFUNCTION("IMPORTRANGE(""https://docs.google.com/spreadsheets/d/1SX6NBoVAgQJ6U1MVXOaj8PK2l7WJ3RER9xtqwdhxkhw/edit?usp=sharing"",""ฉะเชิงเทรา!I388"")"),0)</f>
        <v>0</v>
      </c>
      <c r="J493" s="189">
        <f ca="1">IFERROR(__xludf.DUMMYFUNCTION("IMPORTRANGE(""https://docs.google.com/spreadsheets/d/1SX6NBoVAgQJ6U1MVXOaj8PK2l7WJ3RER9xtqwdhxkhw/edit?usp=sharing"",""ฉะเชิงเทรา!J388"")"),0)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IFERROR(__xludf.DUMMYFUNCTION("IMPORTRANGE(""https://docs.google.com/spreadsheets/d/1SX6NBoVAgQJ6U1MVXOaj8PK2l7WJ3RER9xtqwdhxkhw/edit?usp=sharing"",""ฉะเชิงเทรา!I389"")"),0)</f>
        <v>0</v>
      </c>
      <c r="J494" s="436">
        <f ca="1">IFERROR(__xludf.DUMMYFUNCTION("IMPORTRANGE(""https://docs.google.com/spreadsheets/d/1SX6NBoVAgQJ6U1MVXOaj8PK2l7WJ3RER9xtqwdhxkhw/edit?usp=sharing"",""ฉะเชิงเทรา!J389"")"),0)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IFERROR(__xludf.DUMMYFUNCTION("IMPORTRANGE(""https://docs.google.com/spreadsheets/d/1SX6NBoVAgQJ6U1MVXOaj8PK2l7WJ3RER9xtqwdhxkhw/edit?usp=sharing"",""ฉะเชิงเทรา!I390"")"),0)</f>
        <v>0</v>
      </c>
      <c r="J495" s="436">
        <f ca="1">IFERROR(__xludf.DUMMYFUNCTION("IMPORTRANGE(""https://docs.google.com/spreadsheets/d/1SX6NBoVAgQJ6U1MVXOaj8PK2l7WJ3RER9xtqwdhxkhw/edit?usp=sharing"",""ฉะเชิงเทรา!J390"")"),0)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IFERROR(__xludf.DUMMYFUNCTION("IMPORTRANGE(""https://docs.google.com/spreadsheets/d/1SX6NBoVAgQJ6U1MVXOaj8PK2l7WJ3RER9xtqwdhxkhw/edit?usp=sharing"",""ฉะเชิงเทรา!I391"")"),0)</f>
        <v>0</v>
      </c>
      <c r="J496" s="436">
        <f ca="1">IFERROR(__xludf.DUMMYFUNCTION("IMPORTRANGE(""https://docs.google.com/spreadsheets/d/1SX6NBoVAgQJ6U1MVXOaj8PK2l7WJ3RER9xtqwdhxkhw/edit?usp=sharing"",""ฉะเชิงเทรา!J391"")"),0)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IFERROR(__xludf.DUMMYFUNCTION("IMPORTRANGE(""https://docs.google.com/spreadsheets/d/1SX6NBoVAgQJ6U1MVXOaj8PK2l7WJ3RER9xtqwdhxkhw/edit?usp=sharing"",""ฉะเชิงเทรา!I392"")"),1801)</f>
        <v>1801</v>
      </c>
      <c r="J497" s="443">
        <f ca="1">IFERROR(__xludf.DUMMYFUNCTION("IMPORTRANGE(""https://docs.google.com/spreadsheets/d/1SX6NBoVAgQJ6U1MVXOaj8PK2l7WJ3RER9xtqwdhxkhw/edit?usp=sharing"",""ฉะเชิงเทรา!J392"")"),453)</f>
        <v>453</v>
      </c>
      <c r="K497" s="444">
        <f t="shared" ca="1" si="117"/>
        <v>25.15269294836202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IFERROR(__xludf.DUMMYFUNCTION("IMPORTRANGE(""https://docs.google.com/spreadsheets/d/1SX6NBoVAgQJ6U1MVXOaj8PK2l7WJ3RER9xtqwdhxkhw/edit?usp=sharing"",""ฉะเชิงเทรา!I393"")"),1801)</f>
        <v>1801</v>
      </c>
      <c r="J498" s="420">
        <f ca="1">IFERROR(__xludf.DUMMYFUNCTION("IMPORTRANGE(""https://docs.google.com/spreadsheets/d/1SX6NBoVAgQJ6U1MVXOaj8PK2l7WJ3RER9xtqwdhxkhw/edit?usp=sharing"",""ฉะเชิงเทรา!J393"")"),453)</f>
        <v>453</v>
      </c>
      <c r="K498" s="163">
        <f t="shared" ca="1" si="117"/>
        <v>25.15269294836202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IFERROR(__xludf.DUMMYFUNCTION("IMPORTRANGE(""https://docs.google.com/spreadsheets/d/1SX6NBoVAgQJ6U1MVXOaj8PK2l7WJ3RER9xtqwdhxkhw/edit?usp=sharing"",""ฉะเชิงเทรา!I394"")"),160)</f>
        <v>160</v>
      </c>
      <c r="J499" s="420">
        <f ca="1">IFERROR(__xludf.DUMMYFUNCTION("IMPORTRANGE(""https://docs.google.com/spreadsheets/d/1SX6NBoVAgQJ6U1MVXOaj8PK2l7WJ3RER9xtqwdhxkhw/edit?usp=sharing"",""ฉะเชิงเทรา!J394"")"),50)</f>
        <v>50</v>
      </c>
      <c r="K499" s="202">
        <f t="shared" ca="1" si="117"/>
        <v>31.25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IFERROR(__xludf.DUMMYFUNCTION("IMPORTRANGE(""https://docs.google.com/spreadsheets/d/1SX6NBoVAgQJ6U1MVXOaj8PK2l7WJ3RER9xtqwdhxkhw/edit?usp=sharing"",""ฉะเชิงเทรา!I395"")"),0)</f>
        <v>0</v>
      </c>
      <c r="J500" s="162">
        <f ca="1">IFERROR(__xludf.DUMMYFUNCTION("IMPORTRANGE(""https://docs.google.com/spreadsheets/d/1SX6NBoVAgQJ6U1MVXOaj8PK2l7WJ3RER9xtqwdhxkhw/edit?usp=sharing"",""ฉะเชิงเทรา!J395"")"),453)</f>
        <v>453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IFERROR(__xludf.DUMMYFUNCTION("IMPORTRANGE(""https://docs.google.com/spreadsheets/d/1SX6NBoVAgQJ6U1MVXOaj8PK2l7WJ3RER9xtqwdhxkhw/edit?usp=sharing"",""ฉะเชิงเทรา!I396"")"),0)</f>
        <v>0</v>
      </c>
      <c r="J501" s="162">
        <f ca="1">IFERROR(__xludf.DUMMYFUNCTION("IMPORTRANGE(""https://docs.google.com/spreadsheets/d/1SX6NBoVAgQJ6U1MVXOaj8PK2l7WJ3RER9xtqwdhxkhw/edit?usp=sharing"",""ฉะเชิงเทรา!J396"")"),50)</f>
        <v>50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IFERROR(__xludf.DUMMYFUNCTION("IMPORTRANGE(""https://docs.google.com/spreadsheets/d/1SX6NBoVAgQJ6U1MVXOaj8PK2l7WJ3RER9xtqwdhxkhw/edit?usp=sharing"",""ฉะเชิงเทรา!I397"")"),0)</f>
        <v>0</v>
      </c>
      <c r="J502" s="189">
        <f ca="1">IFERROR(__xludf.DUMMYFUNCTION("IMPORTRANGE(""https://docs.google.com/spreadsheets/d/1SX6NBoVAgQJ6U1MVXOaj8PK2l7WJ3RER9xtqwdhxkhw/edit?usp=sharing"",""ฉะเชิงเทรา!J397"")"),453)</f>
        <v>453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IFERROR(__xludf.DUMMYFUNCTION("IMPORTRANGE(""https://docs.google.com/spreadsheets/d/1SX6NBoVAgQJ6U1MVXOaj8PK2l7WJ3RER9xtqwdhxkhw/edit?usp=sharing"",""ฉะเชิงเทรา!I398"")"),0)</f>
        <v>0</v>
      </c>
      <c r="J503" s="198">
        <f ca="1">IFERROR(__xludf.DUMMYFUNCTION("IMPORTRANGE(""https://docs.google.com/spreadsheets/d/1SX6NBoVAgQJ6U1MVXOaj8PK2l7WJ3RER9xtqwdhxkhw/edit?usp=sharing"",""ฉะเชิงเทรา!J398"")"),50)</f>
        <v>50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IFERROR(__xludf.DUMMYFUNCTION("IMPORTRANGE(""https://docs.google.com/spreadsheets/d/1SX6NBoVAgQJ6U1MVXOaj8PK2l7WJ3RER9xtqwdhxkhw/edit?usp=sharing"",""ฉะเชิงเทรา!I399"")"),0)</f>
        <v>0</v>
      </c>
      <c r="J504" s="189">
        <f ca="1">IFERROR(__xludf.DUMMYFUNCTION("IMPORTRANGE(""https://docs.google.com/spreadsheets/d/1SX6NBoVAgQJ6U1MVXOaj8PK2l7WJ3RER9xtqwdhxkhw/edit?usp=sharing"",""ฉะเชิงเทรา!J399"")"),0)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IFERROR(__xludf.DUMMYFUNCTION("IMPORTRANGE(""https://docs.google.com/spreadsheets/d/1SX6NBoVAgQJ6U1MVXOaj8PK2l7WJ3RER9xtqwdhxkhw/edit?usp=sharing"",""ฉะเชิงเทรา!I400"")"),0)</f>
        <v>0</v>
      </c>
      <c r="J505" s="198">
        <f ca="1">IFERROR(__xludf.DUMMYFUNCTION("IMPORTRANGE(""https://docs.google.com/spreadsheets/d/1SX6NBoVAgQJ6U1MVXOaj8PK2l7WJ3RER9xtqwdhxkhw/edit?usp=sharing"",""ฉะเชิงเทรา!J400"")"),0)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IFERROR(__xludf.DUMMYFUNCTION("IMPORTRANGE(""https://docs.google.com/spreadsheets/d/1SX6NBoVAgQJ6U1MVXOaj8PK2l7WJ3RER9xtqwdhxkhw/edit?usp=sharing"",""ฉะเชิงเทรา!I401"")"),0)</f>
        <v>0</v>
      </c>
      <c r="J506" s="189">
        <f ca="1">IFERROR(__xludf.DUMMYFUNCTION("IMPORTRANGE(""https://docs.google.com/spreadsheets/d/1SX6NBoVAgQJ6U1MVXOaj8PK2l7WJ3RER9xtqwdhxkhw/edit?usp=sharing"",""ฉะเชิงเทรา!J401"")"),0)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IFERROR(__xludf.DUMMYFUNCTION("IMPORTRANGE(""https://docs.google.com/spreadsheets/d/1SX6NBoVAgQJ6U1MVXOaj8PK2l7WJ3RER9xtqwdhxkhw/edit?usp=sharing"",""ฉะเชิงเทรา!I402"")"),0)</f>
        <v>0</v>
      </c>
      <c r="J507" s="198">
        <f ca="1">IFERROR(__xludf.DUMMYFUNCTION("IMPORTRANGE(""https://docs.google.com/spreadsheets/d/1SX6NBoVAgQJ6U1MVXOaj8PK2l7WJ3RER9xtqwdhxkhw/edit?usp=sharing"",""ฉะเชิงเทรา!J402"")"),0)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IFERROR(__xludf.DUMMYFUNCTION("IMPORTRANGE(""https://docs.google.com/spreadsheets/d/1SX6NBoVAgQJ6U1MVXOaj8PK2l7WJ3RER9xtqwdhxkhw/edit?usp=sharing"",""ฉะเชิงเทรา!I403"")"),0)</f>
        <v>0</v>
      </c>
      <c r="J508" s="162">
        <f ca="1">IFERROR(__xludf.DUMMYFUNCTION("IMPORTRANGE(""https://docs.google.com/spreadsheets/d/1SX6NBoVAgQJ6U1MVXOaj8PK2l7WJ3RER9xtqwdhxkhw/edit?usp=sharing"",""ฉะเชิงเทรา!J403"")"),0)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IFERROR(__xludf.DUMMYFUNCTION("IMPORTRANGE(""https://docs.google.com/spreadsheets/d/1SX6NBoVAgQJ6U1MVXOaj8PK2l7WJ3RER9xtqwdhxkhw/edit?usp=sharing"",""ฉะเชิงเทรา!I404"")"),0)</f>
        <v>0</v>
      </c>
      <c r="J509" s="162">
        <f ca="1">IFERROR(__xludf.DUMMYFUNCTION("IMPORTRANGE(""https://docs.google.com/spreadsheets/d/1SX6NBoVAgQJ6U1MVXOaj8PK2l7WJ3RER9xtqwdhxkhw/edit?usp=sharing"",""ฉะเชิงเทรา!J404"")"),0)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IFERROR(__xludf.DUMMYFUNCTION("IMPORTRANGE(""https://docs.google.com/spreadsheets/d/1SX6NBoVAgQJ6U1MVXOaj8PK2l7WJ3RER9xtqwdhxkhw/edit?usp=sharing"",""ฉะเชิงเทรา!I405"")"),0)</f>
        <v>0</v>
      </c>
      <c r="J510" s="198">
        <f ca="1">IFERROR(__xludf.DUMMYFUNCTION("IMPORTRANGE(""https://docs.google.com/spreadsheets/d/1SX6NBoVAgQJ6U1MVXOaj8PK2l7WJ3RER9xtqwdhxkhw/edit?usp=sharing"",""ฉะเชิงเทรา!J405"")"),0)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IFERROR(__xludf.DUMMYFUNCTION("IMPORTRANGE(""https://docs.google.com/spreadsheets/d/1SX6NBoVAgQJ6U1MVXOaj8PK2l7WJ3RER9xtqwdhxkhw/edit?usp=sharing"",""ฉะเชิงเทรา!I406"")"),0)</f>
        <v>0</v>
      </c>
      <c r="J511" s="198">
        <f ca="1">IFERROR(__xludf.DUMMYFUNCTION("IMPORTRANGE(""https://docs.google.com/spreadsheets/d/1SX6NBoVAgQJ6U1MVXOaj8PK2l7WJ3RER9xtqwdhxkhw/edit?usp=sharing"",""ฉะเชิงเทรา!J406"")"),0)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IFERROR(__xludf.DUMMYFUNCTION("IMPORTRANGE(""https://docs.google.com/spreadsheets/d/1SX6NBoVAgQJ6U1MVXOaj8PK2l7WJ3RER9xtqwdhxkhw/edit?usp=sharing"",""ฉะเชิงเทรา!I407"")"),0)</f>
        <v>0</v>
      </c>
      <c r="J512" s="198">
        <f ca="1">IFERROR(__xludf.DUMMYFUNCTION("IMPORTRANGE(""https://docs.google.com/spreadsheets/d/1SX6NBoVAgQJ6U1MVXOaj8PK2l7WJ3RER9xtqwdhxkhw/edit?usp=sharing"",""ฉะเชิงเทรา!J407"")"),0)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IFERROR(__xludf.DUMMYFUNCTION("IMPORTRANGE(""https://docs.google.com/spreadsheets/d/1SX6NBoVAgQJ6U1MVXOaj8PK2l7WJ3RER9xtqwdhxkhw/edit?usp=sharing"",""ฉะเชิงเทรา!I408"")"),0)</f>
        <v>0</v>
      </c>
      <c r="J513" s="198">
        <f ca="1">IFERROR(__xludf.DUMMYFUNCTION("IMPORTRANGE(""https://docs.google.com/spreadsheets/d/1SX6NBoVAgQJ6U1MVXOaj8PK2l7WJ3RER9xtqwdhxkhw/edit?usp=sharing"",""ฉะเชิงเทรา!J408"")"),0)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IFERROR(__xludf.DUMMYFUNCTION("IMPORTRANGE(""https://docs.google.com/spreadsheets/d/1SX6NBoVAgQJ6U1MVXOaj8PK2l7WJ3RER9xtqwdhxkhw/edit?usp=sharing"",""ฉะเชิงเทรา!I409"")"),0)</f>
        <v>0</v>
      </c>
      <c r="J514" s="198">
        <f ca="1">IFERROR(__xludf.DUMMYFUNCTION("IMPORTRANGE(""https://docs.google.com/spreadsheets/d/1SX6NBoVAgQJ6U1MVXOaj8PK2l7WJ3RER9xtqwdhxkhw/edit?usp=sharing"",""ฉะเชิงเทรา!J409"")"),0)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IFERROR(__xludf.DUMMYFUNCTION("IMPORTRANGE(""https://docs.google.com/spreadsheets/d/1SX6NBoVAgQJ6U1MVXOaj8PK2l7WJ3RER9xtqwdhxkhw/edit?usp=sharing"",""ฉะเชิงเทรา!I410"")"),0)</f>
        <v>0</v>
      </c>
      <c r="J515" s="198">
        <f ca="1">IFERROR(__xludf.DUMMYFUNCTION("IMPORTRANGE(""https://docs.google.com/spreadsheets/d/1SX6NBoVAgQJ6U1MVXOaj8PK2l7WJ3RER9xtqwdhxkhw/edit?usp=sharing"",""ฉะเชิงเทรา!J410"")"),0)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IFERROR(__xludf.DUMMYFUNCTION("IMPORTRANGE(""https://docs.google.com/spreadsheets/d/1SX6NBoVAgQJ6U1MVXOaj8PK2l7WJ3RER9xtqwdhxkhw/edit?usp=sharing"",""ฉะเชิงเทรา!I411"")"),0)</f>
        <v>0</v>
      </c>
      <c r="J516" s="267">
        <f ca="1">IFERROR(__xludf.DUMMYFUNCTION("IMPORTRANGE(""https://docs.google.com/spreadsheets/d/1SX6NBoVAgQJ6U1MVXOaj8PK2l7WJ3RER9xtqwdhxkhw/edit?usp=sharing"",""ฉะเชิงเทรา!J411"")"),0)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IFERROR(__xludf.DUMMYFUNCTION("IMPORTRANGE(""https://docs.google.com/spreadsheets/d/1SX6NBoVAgQJ6U1MVXOaj8PK2l7WJ3RER9xtqwdhxkhw/edit?usp=sharing"",""ฉะเชิงเทรา!I412"")"),0)</f>
        <v>0</v>
      </c>
      <c r="J517" s="284">
        <f ca="1">IFERROR(__xludf.DUMMYFUNCTION("IMPORTRANGE(""https://docs.google.com/spreadsheets/d/1SX6NBoVAgQJ6U1MVXOaj8PK2l7WJ3RER9xtqwdhxkhw/edit?usp=sharing"",""ฉะเชิงเทรา!J412"")"),0)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IFERROR(__xludf.DUMMYFUNCTION("IMPORTRANGE(""https://docs.google.com/spreadsheets/d/1SX6NBoVAgQJ6U1MVXOaj8PK2l7WJ3RER9xtqwdhxkhw/edit?usp=sharing"",""ฉะเชิงเทรา!I413"")"),0)</f>
        <v>0</v>
      </c>
      <c r="J518" s="284">
        <f ca="1">IFERROR(__xludf.DUMMYFUNCTION("IMPORTRANGE(""https://docs.google.com/spreadsheets/d/1SX6NBoVAgQJ6U1MVXOaj8PK2l7WJ3RER9xtqwdhxkhw/edit?usp=sharing"",""ฉะเชิงเทรา!J413"")"),0)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IFERROR(__xludf.DUMMYFUNCTION("IMPORTRANGE(""https://docs.google.com/spreadsheets/d/1SX6NBoVAgQJ6U1MVXOaj8PK2l7WJ3RER9xtqwdhxkhw/edit?usp=sharing"",""ฉะเชิงเทรา!I414"")"),0)</f>
        <v>0</v>
      </c>
      <c r="J519" s="188">
        <f ca="1">IFERROR(__xludf.DUMMYFUNCTION("IMPORTRANGE(""https://docs.google.com/spreadsheets/d/1SX6NBoVAgQJ6U1MVXOaj8PK2l7WJ3RER9xtqwdhxkhw/edit?usp=sharing"",""ฉะเชิงเทรา!J414"")"),0)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IFERROR(__xludf.DUMMYFUNCTION("IMPORTRANGE(""https://docs.google.com/spreadsheets/d/1SX6NBoVAgQJ6U1MVXOaj8PK2l7WJ3RER9xtqwdhxkhw/edit?usp=sharing"",""ฉะเชิงเทรา!I415"")"),0)</f>
        <v>0</v>
      </c>
      <c r="J520" s="188">
        <f ca="1">IFERROR(__xludf.DUMMYFUNCTION("IMPORTRANGE(""https://docs.google.com/spreadsheets/d/1SX6NBoVAgQJ6U1MVXOaj8PK2l7WJ3RER9xtqwdhxkhw/edit?usp=sharing"",""ฉะเชิงเทรา!J415"")"),0)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IFERROR(__xludf.DUMMYFUNCTION("IMPORTRANGE(""https://docs.google.com/spreadsheets/d/1SX6NBoVAgQJ6U1MVXOaj8PK2l7WJ3RER9xtqwdhxkhw/edit?usp=sharing"",""ฉะเชิงเทรา!I416"")"),0)</f>
        <v>0</v>
      </c>
      <c r="J521" s="188">
        <f ca="1">IFERROR(__xludf.DUMMYFUNCTION("IMPORTRANGE(""https://docs.google.com/spreadsheets/d/1SX6NBoVAgQJ6U1MVXOaj8PK2l7WJ3RER9xtqwdhxkhw/edit?usp=sharing"",""ฉะเชิงเทรา!J416"")"),0)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IFERROR(__xludf.DUMMYFUNCTION("IMPORTRANGE(""https://docs.google.com/spreadsheets/d/1SX6NBoVAgQJ6U1MVXOaj8PK2l7WJ3RER9xtqwdhxkhw/edit?usp=sharing"",""ฉะเชิงเทรา!I417"")"),0)</f>
        <v>0</v>
      </c>
      <c r="J522" s="188">
        <f ca="1">IFERROR(__xludf.DUMMYFUNCTION("IMPORTRANGE(""https://docs.google.com/spreadsheets/d/1SX6NBoVAgQJ6U1MVXOaj8PK2l7WJ3RER9xtqwdhxkhw/edit?usp=sharing"",""ฉะเชิงเทรา!J417"")"),0)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IFERROR(__xludf.DUMMYFUNCTION("IMPORTRANGE(""https://docs.google.com/spreadsheets/d/1SX6NBoVAgQJ6U1MVXOaj8PK2l7WJ3RER9xtqwdhxkhw/edit?usp=sharing"",""ฉะเชิงเทรา!I418"")"),0)</f>
        <v>0</v>
      </c>
      <c r="J523" s="188">
        <f ca="1">IFERROR(__xludf.DUMMYFUNCTION("IMPORTRANGE(""https://docs.google.com/spreadsheets/d/1SX6NBoVAgQJ6U1MVXOaj8PK2l7WJ3RER9xtqwdhxkhw/edit?usp=sharing"",""ฉะเชิงเทรา!J418"")"),0)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IFERROR(__xludf.DUMMYFUNCTION("IMPORTRANGE(""https://docs.google.com/spreadsheets/d/1SX6NBoVAgQJ6U1MVXOaj8PK2l7WJ3RER9xtqwdhxkhw/edit?usp=sharing"",""ฉะเชิงเทรา!I419"")"),0)</f>
        <v>0</v>
      </c>
      <c r="J524" s="188">
        <f ca="1">IFERROR(__xludf.DUMMYFUNCTION("IMPORTRANGE(""https://docs.google.com/spreadsheets/d/1SX6NBoVAgQJ6U1MVXOaj8PK2l7WJ3RER9xtqwdhxkhw/edit?usp=sharing"",""ฉะเชิงเทรา!J419"")"),0)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IFERROR(__xludf.DUMMYFUNCTION("IMPORTRANGE(""https://docs.google.com/spreadsheets/d/1SX6NBoVAgQJ6U1MVXOaj8PK2l7WJ3RER9xtqwdhxkhw/edit?usp=sharing"",""ฉะเชิงเทรา!I420"")"),0)</f>
        <v>0</v>
      </c>
      <c r="J525" s="284">
        <f ca="1">IFERROR(__xludf.DUMMYFUNCTION("IMPORTRANGE(""https://docs.google.com/spreadsheets/d/1SX6NBoVAgQJ6U1MVXOaj8PK2l7WJ3RER9xtqwdhxkhw/edit?usp=sharing"",""ฉะเชิงเทรา!J420"")"),0)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IFERROR(__xludf.DUMMYFUNCTION("IMPORTRANGE(""https://docs.google.com/spreadsheets/d/1SX6NBoVAgQJ6U1MVXOaj8PK2l7WJ3RER9xtqwdhxkhw/edit?usp=sharing"",""ฉะเชิงเทรา!I421"")"),0)</f>
        <v>0</v>
      </c>
      <c r="J526" s="284">
        <f ca="1">IFERROR(__xludf.DUMMYFUNCTION("IMPORTRANGE(""https://docs.google.com/spreadsheets/d/1SX6NBoVAgQJ6U1MVXOaj8PK2l7WJ3RER9xtqwdhxkhw/edit?usp=sharing"",""ฉะเชิงเทรา!J421"")"),0)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IFERROR(__xludf.DUMMYFUNCTION("IMPORTRANGE(""https://docs.google.com/spreadsheets/d/1SX6NBoVAgQJ6U1MVXOaj8PK2l7WJ3RER9xtqwdhxkhw/edit?usp=sharing"",""ฉะเชิงเทรา!I422"")"),0)</f>
        <v>0</v>
      </c>
      <c r="J527" s="198">
        <f ca="1">IFERROR(__xludf.DUMMYFUNCTION("IMPORTRANGE(""https://docs.google.com/spreadsheets/d/1SX6NBoVAgQJ6U1MVXOaj8PK2l7WJ3RER9xtqwdhxkhw/edit?usp=sharing"",""ฉะเชิงเทรา!J422"")"),0)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IFERROR(__xludf.DUMMYFUNCTION("IMPORTRANGE(""https://docs.google.com/spreadsheets/d/1SX6NBoVAgQJ6U1MVXOaj8PK2l7WJ3RER9xtqwdhxkhw/edit?usp=sharing"",""ฉะเชิงเทรา!I423"")"),0)</f>
        <v>0</v>
      </c>
      <c r="J528" s="198">
        <f ca="1">IFERROR(__xludf.DUMMYFUNCTION("IMPORTRANGE(""https://docs.google.com/spreadsheets/d/1SX6NBoVAgQJ6U1MVXOaj8PK2l7WJ3RER9xtqwdhxkhw/edit?usp=sharing"",""ฉะเชิงเทรา!J423"")"),0)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IFERROR(__xludf.DUMMYFUNCTION("IMPORTRANGE(""https://docs.google.com/spreadsheets/d/1SX6NBoVAgQJ6U1MVXOaj8PK2l7WJ3RER9xtqwdhxkhw/edit?usp=sharing"",""ฉะเชิงเทรา!I424"")"),0)</f>
        <v>0</v>
      </c>
      <c r="J529" s="198">
        <f ca="1">IFERROR(__xludf.DUMMYFUNCTION("IMPORTRANGE(""https://docs.google.com/spreadsheets/d/1SX6NBoVAgQJ6U1MVXOaj8PK2l7WJ3RER9xtqwdhxkhw/edit?usp=sharing"",""ฉะเชิงเทรา!J424"")"),0)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IFERROR(__xludf.DUMMYFUNCTION("IMPORTRANGE(""https://docs.google.com/spreadsheets/d/1SX6NBoVAgQJ6U1MVXOaj8PK2l7WJ3RER9xtqwdhxkhw/edit?usp=sharing"",""ฉะเชิงเทรา!I425"")"),0)</f>
        <v>0</v>
      </c>
      <c r="J530" s="198">
        <f ca="1">IFERROR(__xludf.DUMMYFUNCTION("IMPORTRANGE(""https://docs.google.com/spreadsheets/d/1SX6NBoVAgQJ6U1MVXOaj8PK2l7WJ3RER9xtqwdhxkhw/edit?usp=sharing"",""ฉะเชิงเทรา!J425"")"),0)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IFERROR(__xludf.DUMMYFUNCTION("IMPORTRANGE(""https://docs.google.com/spreadsheets/d/1SX6NBoVAgQJ6U1MVXOaj8PK2l7WJ3RER9xtqwdhxkhw/edit?usp=sharing"",""ฉะเชิงเทรา!I426"")"),0)</f>
        <v>0</v>
      </c>
      <c r="J531" s="198">
        <f ca="1">IFERROR(__xludf.DUMMYFUNCTION("IMPORTRANGE(""https://docs.google.com/spreadsheets/d/1SX6NBoVAgQJ6U1MVXOaj8PK2l7WJ3RER9xtqwdhxkhw/edit?usp=sharing"",""ฉะเชิงเทรา!J426"")"),0)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IFERROR(__xludf.DUMMYFUNCTION("IMPORTRANGE(""https://docs.google.com/spreadsheets/d/1SX6NBoVAgQJ6U1MVXOaj8PK2l7WJ3RER9xtqwdhxkhw/edit?usp=sharing"",""ฉะเชิงเทรา!I427"")"),0)</f>
        <v>0</v>
      </c>
      <c r="J532" s="466">
        <f ca="1">IFERROR(__xludf.DUMMYFUNCTION("IMPORTRANGE(""https://docs.google.com/spreadsheets/d/1SX6NBoVAgQJ6U1MVXOaj8PK2l7WJ3RER9xtqwdhxkhw/edit?usp=sharing"",""ฉะเชิงเทรา!J427"")"),0)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IFERROR(__xludf.DUMMYFUNCTION("IMPORTRANGE(""https://docs.google.com/spreadsheets/d/1SX6NBoVAgQJ6U1MVXOaj8PK2l7WJ3RER9xtqwdhxkhw/edit?usp=sharing"",""ฉะเชิงเทรา!I428"")"),22)</f>
        <v>22</v>
      </c>
      <c r="J533" s="410">
        <f ca="1">IFERROR(__xludf.DUMMYFUNCTION("IMPORTRANGE(""https://docs.google.com/spreadsheets/d/1SX6NBoVAgQJ6U1MVXOaj8PK2l7WJ3RER9xtqwdhxkhw/edit?usp=sharing"",""ฉะเชิงเทรา!J428"")"),22)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IFERROR(__xludf.DUMMYFUNCTION("IMPORTRANGE(""https://docs.google.com/spreadsheets/d/1SX6NBoVAgQJ6U1MVXOaj8PK2l7WJ3RER9xtqwdhxkhw/edit?usp=sharing"",""ฉะเชิงเทรา!L428"")"),34340)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IFERROR(__xludf.DUMMYFUNCTION("IMPORTRANGE(""https://docs.google.com/spreadsheets/d/1SX6NBoVAgQJ6U1MVXOaj8PK2l7WJ3RER9xtqwdhxkhw/edit?usp=sharing"",""ฉะเชิงเทรา!M428"")"),30240)</f>
        <v>30240</v>
      </c>
      <c r="O533" s="412">
        <f t="shared" ref="O533:O537" ca="1" si="118">+IF(L533&gt;0,N533*100/L533,0)</f>
        <v>88.060570762958648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IFERROR(__xludf.DUMMYFUNCTION("IMPORTRANGE(""https://docs.google.com/spreadsheets/d/1SX6NBoVAgQJ6U1MVXOaj8PK2l7WJ3RER9xtqwdhxkhw/edit?usp=sharing"",""ฉะเชิงเทรา!L429"")"),0)</f>
        <v>0</v>
      </c>
      <c r="M534" s="164"/>
      <c r="N534" s="169">
        <f ca="1">IFERROR(__xludf.DUMMYFUNCTION("IMPORTRANGE(""https://docs.google.com/spreadsheets/d/1SX6NBoVAgQJ6U1MVXOaj8PK2l7WJ3RER9xtqwdhxkhw/edit?usp=sharing"",""ฉะเชิงเทรา!M429"")"),0)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IFERROR(__xludf.DUMMYFUNCTION("IMPORTRANGE(""https://docs.google.com/spreadsheets/d/1SX6NBoVAgQJ6U1MVXOaj8PK2l7WJ3RER9xtqwdhxkhw/edit?usp=sharing"",""ฉะเชิงเทรา!L430"")"),34340)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IFERROR(__xludf.DUMMYFUNCTION("IMPORTRANGE(""https://docs.google.com/spreadsheets/d/1SX6NBoVAgQJ6U1MVXOaj8PK2l7WJ3RER9xtqwdhxkhw/edit?usp=sharing"",""ฉะเชิงเทรา!M430"")"),30240)</f>
        <v>30240</v>
      </c>
      <c r="O535" s="169">
        <f t="shared" ca="1" si="118"/>
        <v>88.060570762958648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IFERROR(__xludf.DUMMYFUNCTION("IMPORTRANGE(""https://docs.google.com/spreadsheets/d/1SX6NBoVAgQJ6U1MVXOaj8PK2l7WJ3RER9xtqwdhxkhw/edit?usp=sharing"",""ฉะเชิงเทรา!L431"")"),0)</f>
        <v>0</v>
      </c>
      <c r="M536" s="169"/>
      <c r="N536" s="169">
        <f ca="1">IFERROR(__xludf.DUMMYFUNCTION("IMPORTRANGE(""https://docs.google.com/spreadsheets/d/1SX6NBoVAgQJ6U1MVXOaj8PK2l7WJ3RER9xtqwdhxkhw/edit?usp=sharing"",""ฉะเชิงเทรา!M431"")"),0)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IFERROR(__xludf.DUMMYFUNCTION("IMPORTRANGE(""https://docs.google.com/spreadsheets/d/1SX6NBoVAgQJ6U1MVXOaj8PK2l7WJ3RER9xtqwdhxkhw/edit?usp=sharing"",""ฉะเชิงเทรา!L432"")"),34340)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IFERROR(__xludf.DUMMYFUNCTION("IMPORTRANGE(""https://docs.google.com/spreadsheets/d/1SX6NBoVAgQJ6U1MVXOaj8PK2l7WJ3RER9xtqwdhxkhw/edit?usp=sharing"",""ฉะเชิงเทรา!M432"")"),30240)</f>
        <v>30240</v>
      </c>
      <c r="O537" s="169">
        <f t="shared" ca="1" si="118"/>
        <v>88.060570762958648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IFERROR(__xludf.DUMMYFUNCTION("IMPORTRANGE(""https://docs.google.com/spreadsheets/d/1SX6NBoVAgQJ6U1MVXOaj8PK2l7WJ3RER9xtqwdhxkhw/edit?usp=sharing"",""ฉะเชิงเทรา!M433"")"),18740)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IFERROR(__xludf.DUMMYFUNCTION("IMPORTRANGE(""https://docs.google.com/spreadsheets/d/1SX6NBoVAgQJ6U1MVXOaj8PK2l7WJ3RER9xtqwdhxkhw/edit?usp=sharing"",""ฉะเชิงเทรา!M434"")"),0)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IFERROR(__xludf.DUMMYFUNCTION("IMPORTRANGE(""https://docs.google.com/spreadsheets/d/1SX6NBoVAgQJ6U1MVXOaj8PK2l7WJ3RER9xtqwdhxkhw/edit?usp=sharing"",""ฉะเชิงเทรา!M435"")"),0)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IFERROR(__xludf.DUMMYFUNCTION("IMPORTRANGE(""https://docs.google.com/spreadsheets/d/1SX6NBoVAgQJ6U1MVXOaj8PK2l7WJ3RER9xtqwdhxkhw/edit?usp=sharing"",""ฉะเชิงเทรา!M436"")"),11500)</f>
        <v>11500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IFERROR(__xludf.DUMMYFUNCTION("IMPORTRANGE(""https://docs.google.com/spreadsheets/d/1SX6NBoVAgQJ6U1MVXOaj8PK2l7WJ3RER9xtqwdhxkhw/edit?usp=sharing"",""ฉะเชิงเทรา!J438"")"),0)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IFERROR(__xludf.DUMMYFUNCTION("IMPORTRANGE(""https://docs.google.com/spreadsheets/d/1SX6NBoVAgQJ6U1MVXOaj8PK2l7WJ3RER9xtqwdhxkhw/edit?usp=sharing"",""ฉะเชิงเทรา!J439"")"),1)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IFERROR(__xludf.DUMMYFUNCTION("IMPORTRANGE(""https://docs.google.com/spreadsheets/d/1SX6NBoVAgQJ6U1MVXOaj8PK2l7WJ3RER9xtqwdhxkhw/edit?usp=sharing"",""ฉะเชิงเทรา!J440"")"),1)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IFERROR(__xludf.DUMMYFUNCTION("IMPORTRANGE(""https://docs.google.com/spreadsheets/d/1SX6NBoVAgQJ6U1MVXOaj8PK2l7WJ3RER9xtqwdhxkhw/edit?usp=sharing"",""ฉะเชิงเทรา!J441"")"),1)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IFERROR(__xludf.DUMMYFUNCTION("IMPORTRANGE(""https://docs.google.com/spreadsheets/d/1SX6NBoVAgQJ6U1MVXOaj8PK2l7WJ3RER9xtqwdhxkhw/edit?usp=sharing"",""ฉะเชิงเทรา!I442"")"),22)</f>
        <v>22</v>
      </c>
      <c r="J547" s="189">
        <f ca="1">IFERROR(__xludf.DUMMYFUNCTION("IMPORTRANGE(""https://docs.google.com/spreadsheets/d/1SX6NBoVAgQJ6U1MVXOaj8PK2l7WJ3RER9xtqwdhxkhw/edit?usp=sharing"",""ฉะเชิงเทรา!J442"")"),22)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IFERROR(__xludf.DUMMYFUNCTION("IMPORTRANGE(""https://docs.google.com/spreadsheets/d/1SX6NBoVAgQJ6U1MVXOaj8PK2l7WJ3RER9xtqwdhxkhw/edit?usp=sharing"",""ฉะเชิงเทรา!J166"")"),0)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IFERROR(__xludf.DUMMYFUNCTION("IMPORTRANGE(""https://docs.google.com/spreadsheets/d/1SX6NBoVAgQJ6U1MVXOaj8PK2l7WJ3RER9xtqwdhxkhw/edit?usp=sharing"",""ฉะเชิงเทรา!J444"")"),0)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IFERROR(__xludf.DUMMYFUNCTION("IMPORTRANGE(""https://docs.google.com/spreadsheets/d/1SX6NBoVAgQJ6U1MVXOaj8PK2l7WJ3RER9xtqwdhxkhw/edit?usp=sharing"",""ฉะเชิงเทรา!J445"")"),0)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IFERROR(__xludf.DUMMYFUNCTION("IMPORTRANGE(""https://docs.google.com/spreadsheets/d/1SX6NBoVAgQJ6U1MVXOaj8PK2l7WJ3RER9xtqwdhxkhw/edit?usp=sharing"",""ฉะเชิงเทรา!I446"")"),0)</f>
        <v>0</v>
      </c>
      <c r="J551" s="410">
        <f ca="1">IFERROR(__xludf.DUMMYFUNCTION("IMPORTRANGE(""https://docs.google.com/spreadsheets/d/1SX6NBoVAgQJ6U1MVXOaj8PK2l7WJ3RER9xtqwdhxkhw/edit?usp=sharing"",""ฉะเชิงเทรา!J446"")"),0)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IFERROR(__xludf.DUMMYFUNCTION("IMPORTRANGE(""https://docs.google.com/spreadsheets/d/1SX6NBoVAgQJ6U1MVXOaj8PK2l7WJ3RER9xtqwdhxkhw/edit?usp=sharing"",""ฉะเชิงเทรา!L446"")"),0)</f>
        <v>0</v>
      </c>
      <c r="M551" s="412"/>
      <c r="N551" s="412">
        <f ca="1">IFERROR(__xludf.DUMMYFUNCTION("IMPORTRANGE(""https://docs.google.com/spreadsheets/d/1SX6NBoVAgQJ6U1MVXOaj8PK2l7WJ3RER9xtqwdhxkhw/edit?usp=sharing"",""ฉะเชิงเทรา!M446"")"),0)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IFERROR(__xludf.DUMMYFUNCTION("IMPORTRANGE(""https://docs.google.com/spreadsheets/d/1SX6NBoVAgQJ6U1MVXOaj8PK2l7WJ3RER9xtqwdhxkhw/edit?usp=sharing"",""ฉะเชิงเทรา!L447"")"),0)</f>
        <v>0</v>
      </c>
      <c r="M552" s="164"/>
      <c r="N552" s="169">
        <f ca="1">IFERROR(__xludf.DUMMYFUNCTION("IMPORTRANGE(""https://docs.google.com/spreadsheets/d/1SX6NBoVAgQJ6U1MVXOaj8PK2l7WJ3RER9xtqwdhxkhw/edit?usp=sharing"",""ฉะเชิงเทรา!M447"")"),0)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IFERROR(__xludf.DUMMYFUNCTION("IMPORTRANGE(""https://docs.google.com/spreadsheets/d/1SX6NBoVAgQJ6U1MVXOaj8PK2l7WJ3RER9xtqwdhxkhw/edit?usp=sharing"",""ฉะเชิงเทรา!L448"")"),0)</f>
        <v>0</v>
      </c>
      <c r="M553" s="165"/>
      <c r="N553" s="169">
        <f ca="1">IFERROR(__xludf.DUMMYFUNCTION("IMPORTRANGE(""https://docs.google.com/spreadsheets/d/1SX6NBoVAgQJ6U1MVXOaj8PK2l7WJ3RER9xtqwdhxkhw/edit?usp=sharing"",""ฉะเชิงเทรา!M448"")"),0)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IFERROR(__xludf.DUMMYFUNCTION("IMPORTRANGE(""https://docs.google.com/spreadsheets/d/1SX6NBoVAgQJ6U1MVXOaj8PK2l7WJ3RER9xtqwdhxkhw/edit?usp=sharing"",""ฉะเชิงเทรา!L449"")"),0)</f>
        <v>0</v>
      </c>
      <c r="M554" s="169"/>
      <c r="N554" s="169">
        <f ca="1">IFERROR(__xludf.DUMMYFUNCTION("IMPORTRANGE(""https://docs.google.com/spreadsheets/d/1SX6NBoVAgQJ6U1MVXOaj8PK2l7WJ3RER9xtqwdhxkhw/edit?usp=sharing"",""ฉะเชิงเทรา!M449"")"),0)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IFERROR(__xludf.DUMMYFUNCTION("IMPORTRANGE(""https://docs.google.com/spreadsheets/d/1SX6NBoVAgQJ6U1MVXOaj8PK2l7WJ3RER9xtqwdhxkhw/edit?usp=sharing"",""ฉะเชิงเทรา!L450"")"),0)</f>
        <v>0</v>
      </c>
      <c r="M555" s="169"/>
      <c r="N555" s="169">
        <f ca="1">IFERROR(__xludf.DUMMYFUNCTION("IMPORTRANGE(""https://docs.google.com/spreadsheets/d/1SX6NBoVAgQJ6U1MVXOaj8PK2l7WJ3RER9xtqwdhxkhw/edit?usp=sharing"",""ฉะเชิงเทรา!M450"")"),0)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IFERROR(__xludf.DUMMYFUNCTION("IMPORTRANGE(""https://docs.google.com/spreadsheets/d/1SX6NBoVAgQJ6U1MVXOaj8PK2l7WJ3RER9xtqwdhxkhw/edit?usp=sharing"",""ฉะเชิงเทรา!M451"")"),0)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IFERROR(__xludf.DUMMYFUNCTION("IMPORTRANGE(""https://docs.google.com/spreadsheets/d/1SX6NBoVAgQJ6U1MVXOaj8PK2l7WJ3RER9xtqwdhxkhw/edit?usp=sharing"",""ฉะเชิงเทรา!M452"")"),0)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IFERROR(__xludf.DUMMYFUNCTION("IMPORTRANGE(""https://docs.google.com/spreadsheets/d/1SX6NBoVAgQJ6U1MVXOaj8PK2l7WJ3RER9xtqwdhxkhw/edit?usp=sharing"",""ฉะเชิงเทรา!M453"")"),0)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IFERROR(__xludf.DUMMYFUNCTION("IMPORTRANGE(""https://docs.google.com/spreadsheets/d/1SX6NBoVAgQJ6U1MVXOaj8PK2l7WJ3RER9xtqwdhxkhw/edit?usp=sharing"",""ฉะเชิงเทรา!M454"")"),0)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IFERROR(__xludf.DUMMYFUNCTION("IMPORTRANGE(""https://docs.google.com/spreadsheets/d/1SX6NBoVAgQJ6U1MVXOaj8PK2l7WJ3RER9xtqwdhxkhw/edit?usp=sharing"",""ฉะเชิงเทรา!I455"")"),0)</f>
        <v>0</v>
      </c>
      <c r="J560" s="162">
        <f ca="1">IFERROR(__xludf.DUMMYFUNCTION("IMPORTRANGE(""https://docs.google.com/spreadsheets/d/1SX6NBoVAgQJ6U1MVXOaj8PK2l7WJ3RER9xtqwdhxkhw/edit?usp=sharing"",""ฉะเชิงเทรา!J455"")"),0)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IFERROR(__xludf.DUMMYFUNCTION("IMPORTRANGE(""https://docs.google.com/spreadsheets/d/1SX6NBoVAgQJ6U1MVXOaj8PK2l7WJ3RER9xtqwdhxkhw/edit?usp=sharing"",""ฉะเชิงเทรา!I456"")"),0)</f>
        <v>0</v>
      </c>
      <c r="J561" s="204">
        <f ca="1">IFERROR(__xludf.DUMMYFUNCTION("IMPORTRANGE(""https://docs.google.com/spreadsheets/d/1SX6NBoVAgQJ6U1MVXOaj8PK2l7WJ3RER9xtqwdhxkhw/edit?usp=sharing"",""ฉะเชิงเทรา!J456"")"),0)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IFERROR(__xludf.DUMMYFUNCTION("IMPORTRANGE(""https://docs.google.com/spreadsheets/d/1SX6NBoVAgQJ6U1MVXOaj8PK2l7WJ3RER9xtqwdhxkhw/edit?usp=sharing"",""ฉะเชิงเทรา!I459"")"),1800)</f>
        <v>1800</v>
      </c>
      <c r="J564" s="371">
        <f ca="1">IFERROR(__xludf.DUMMYFUNCTION("IMPORTRANGE(""https://docs.google.com/spreadsheets/d/1SX6NBoVAgQJ6U1MVXOaj8PK2l7WJ3RER9xtqwdhxkhw/edit?usp=sharing"",""ฉะเชิงเทรา!J459"")"),2125)</f>
        <v>2125</v>
      </c>
      <c r="K564" s="372">
        <f ca="1">IF(I564&gt;0,J564*100/I564,0)</f>
        <v>118.05555555555556</v>
      </c>
      <c r="L564" s="373">
        <f ca="1">IFERROR(__xludf.DUMMYFUNCTION("IMPORTRANGE(""https://docs.google.com/spreadsheets/d/1SX6NBoVAgQJ6U1MVXOaj8PK2l7WJ3RER9xtqwdhxkhw/edit?usp=sharing"",""ฉะเชิงเทรา!L459"")"),140960)</f>
        <v>140960</v>
      </c>
      <c r="M564" s="373"/>
      <c r="N564" s="373">
        <f ca="1">IFERROR(__xludf.DUMMYFUNCTION("IMPORTRANGE(""https://docs.google.com/spreadsheets/d/1SX6NBoVAgQJ6U1MVXOaj8PK2l7WJ3RER9xtqwdhxkhw/edit?usp=sharing"",""ฉะเชิงเทรา!M459"")"),73173.0199999999)</f>
        <v>73173.019999999902</v>
      </c>
      <c r="O564" s="373">
        <f t="shared" ref="O564:O568" ca="1" si="122">+IF(L564&gt;0,N564*100/L564,0)</f>
        <v>51.9104852440408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IFERROR(__xludf.DUMMYFUNCTION("IMPORTRANGE(""https://docs.google.com/spreadsheets/d/1SX6NBoVAgQJ6U1MVXOaj8PK2l7WJ3RER9xtqwdhxkhw/edit?usp=sharing"",""ฉะเชิงเทรา!L460"")"),0)</f>
        <v>0</v>
      </c>
      <c r="M565" s="164"/>
      <c r="N565" s="169">
        <f ca="1">IFERROR(__xludf.DUMMYFUNCTION("IMPORTRANGE(""https://docs.google.com/spreadsheets/d/1SX6NBoVAgQJ6U1MVXOaj8PK2l7WJ3RER9xtqwdhxkhw/edit?usp=sharing"",""ฉะเชิงเทรา!M460"")"),0)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IFERROR(__xludf.DUMMYFUNCTION("IMPORTRANGE(""https://docs.google.com/spreadsheets/d/1SX6NBoVAgQJ6U1MVXOaj8PK2l7WJ3RER9xtqwdhxkhw/edit?usp=sharing"",""ฉะเชิงเทรา!L461"")"),140960)</f>
        <v>140960</v>
      </c>
      <c r="M566" s="165"/>
      <c r="N566" s="169">
        <f ca="1">IFERROR(__xludf.DUMMYFUNCTION("IMPORTRANGE(""https://docs.google.com/spreadsheets/d/1SX6NBoVAgQJ6U1MVXOaj8PK2l7WJ3RER9xtqwdhxkhw/edit?usp=sharing"",""ฉะเชิงเทรา!M461"")"),73173.0199999999)</f>
        <v>73173.019999999902</v>
      </c>
      <c r="O566" s="169">
        <f t="shared" ca="1" si="122"/>
        <v>51.9104852440408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IFERROR(__xludf.DUMMYFUNCTION("IMPORTRANGE(""https://docs.google.com/spreadsheets/d/1SX6NBoVAgQJ6U1MVXOaj8PK2l7WJ3RER9xtqwdhxkhw/edit?usp=sharing"",""ฉะเชิงเทรา!L462"")"),0)</f>
        <v>0</v>
      </c>
      <c r="M567" s="169"/>
      <c r="N567" s="169">
        <f ca="1">IFERROR(__xludf.DUMMYFUNCTION("IMPORTRANGE(""https://docs.google.com/spreadsheets/d/1SX6NBoVAgQJ6U1MVXOaj8PK2l7WJ3RER9xtqwdhxkhw/edit?usp=sharing"",""ฉะเชิงเทรา!M462"")"),0)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IFERROR(__xludf.DUMMYFUNCTION("IMPORTRANGE(""https://docs.google.com/spreadsheets/d/1SX6NBoVAgQJ6U1MVXOaj8PK2l7WJ3RER9xtqwdhxkhw/edit?usp=sharing"",""ฉะเชิงเทรา!L463"")"),140960)</f>
        <v>140960</v>
      </c>
      <c r="M568" s="169"/>
      <c r="N568" s="169">
        <f ca="1">IFERROR(__xludf.DUMMYFUNCTION("IMPORTRANGE(""https://docs.google.com/spreadsheets/d/1SX6NBoVAgQJ6U1MVXOaj8PK2l7WJ3RER9xtqwdhxkhw/edit?usp=sharing"",""ฉะเชิงเทรา!M463"")"),73173.0199999999)</f>
        <v>73173.019999999902</v>
      </c>
      <c r="O568" s="169">
        <f t="shared" ca="1" si="122"/>
        <v>51.9104852440408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IFERROR(__xludf.DUMMYFUNCTION("IMPORTRANGE(""https://docs.google.com/spreadsheets/d/1SX6NBoVAgQJ6U1MVXOaj8PK2l7WJ3RER9xtqwdhxkhw/edit?usp=sharing"",""ฉะเชิงเทรา!M464"")"),0)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IFERROR(__xludf.DUMMYFUNCTION("IMPORTRANGE(""https://docs.google.com/spreadsheets/d/1SX6NBoVAgQJ6U1MVXOaj8PK2l7WJ3RER9xtqwdhxkhw/edit?usp=sharing"",""ฉะเชิงเทรา!M465"")"),0)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IFERROR(__xludf.DUMMYFUNCTION("IMPORTRANGE(""https://docs.google.com/spreadsheets/d/1SX6NBoVAgQJ6U1MVXOaj8PK2l7WJ3RER9xtqwdhxkhw/edit?usp=sharing"",""ฉะเชิงเทรา!M466"")"),60133.02)</f>
        <v>60133.02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IFERROR(__xludf.DUMMYFUNCTION("IMPORTRANGE(""https://docs.google.com/spreadsheets/d/1SX6NBoVAgQJ6U1MVXOaj8PK2l7WJ3RER9xtqwdhxkhw/edit?usp=sharing"",""ฉะเชิงเทรา!M467"")"),13040)</f>
        <v>13040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IFERROR(__xludf.DUMMYFUNCTION("IMPORTRANGE(""https://docs.google.com/spreadsheets/d/1SX6NBoVAgQJ6U1MVXOaj8PK2l7WJ3RER9xtqwdhxkhw/edit?usp=sharing"",""ฉะเชิงเทรา!I468"")"),1800)</f>
        <v>1800</v>
      </c>
      <c r="J573" s="420">
        <f ca="1">IFERROR(__xludf.DUMMYFUNCTION("IMPORTRANGE(""https://docs.google.com/spreadsheets/d/1SX6NBoVAgQJ6U1MVXOaj8PK2l7WJ3RER9xtqwdhxkhw/edit?usp=sharing"",""ฉะเชิงเทรา!J468"")"),2125)</f>
        <v>2125</v>
      </c>
      <c r="K573" s="202">
        <f ca="1">IF(I573&gt;0,J573*100/I573,0)</f>
        <v>118.05555555555556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IFERROR(__xludf.DUMMYFUNCTION("IMPORTRANGE(""https://docs.google.com/spreadsheets/d/1SX6NBoVAgQJ6U1MVXOaj8PK2l7WJ3RER9xtqwdhxkhw/edit?usp=sharing"",""ฉะเชิงเทรา!I470"")"),0)</f>
        <v>0</v>
      </c>
      <c r="J575" s="198">
        <f ca="1">IFERROR(__xludf.DUMMYFUNCTION("IMPORTRANGE(""https://docs.google.com/spreadsheets/d/1SX6NBoVAgQJ6U1MVXOaj8PK2l7WJ3RER9xtqwdhxkhw/edit?usp=sharing"",""ฉะเชิงเทรา!J470"")"),2)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IFERROR(__xludf.DUMMYFUNCTION("IMPORTRANGE(""https://docs.google.com/spreadsheets/d/1SX6NBoVAgQJ6U1MVXOaj8PK2l7WJ3RER9xtqwdhxkhw/edit?usp=sharing"",""ฉะเชิงเทรา!I471"")"),0)</f>
        <v>0</v>
      </c>
      <c r="J576" s="198">
        <f ca="1">IFERROR(__xludf.DUMMYFUNCTION("IMPORTRANGE(""https://docs.google.com/spreadsheets/d/1SX6NBoVAgQJ6U1MVXOaj8PK2l7WJ3RER9xtqwdhxkhw/edit?usp=sharing"",""ฉะเชิงเทรา!J471"")"),116)</f>
        <v>116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IFERROR(__xludf.DUMMYFUNCTION("IMPORTRANGE(""https://docs.google.com/spreadsheets/d/1SX6NBoVAgQJ6U1MVXOaj8PK2l7WJ3RER9xtqwdhxkhw/edit?usp=sharing"",""ฉะเชิงเทรา!I472"")"),0)</f>
        <v>0</v>
      </c>
      <c r="J577" s="189">
        <f ca="1">IFERROR(__xludf.DUMMYFUNCTION("IMPORTRANGE(""https://docs.google.com/spreadsheets/d/1SX6NBoVAgQJ6U1MVXOaj8PK2l7WJ3RER9xtqwdhxkhw/edit?usp=sharing"",""ฉะเชิงเทรา!J472"")"),1989)</f>
        <v>1989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IFERROR(__xludf.DUMMYFUNCTION("IMPORTRANGE(""https://docs.google.com/spreadsheets/d/1SX6NBoVAgQJ6U1MVXOaj8PK2l7WJ3RER9xtqwdhxkhw/edit?usp=sharing"",""ฉะเชิงเทรา!I473"")"),0)</f>
        <v>0</v>
      </c>
      <c r="J578" s="198">
        <f ca="1">IFERROR(__xludf.DUMMYFUNCTION("IMPORTRANGE(""https://docs.google.com/spreadsheets/d/1SX6NBoVAgQJ6U1MVXOaj8PK2l7WJ3RER9xtqwdhxkhw/edit?usp=sharing"",""ฉะเชิงเทรา!J473"")"),20)</f>
        <v>20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IFERROR(__xludf.DUMMYFUNCTION("IMPORTRANGE(""https://docs.google.com/spreadsheets/d/1SX6NBoVAgQJ6U1MVXOaj8PK2l7WJ3RER9xtqwdhxkhw/edit?usp=sharing"",""ฉะเชิงเทรา!I474"")"),0)</f>
        <v>0</v>
      </c>
      <c r="J579" s="198">
        <f ca="1">IFERROR(__xludf.DUMMYFUNCTION("IMPORTRANGE(""https://docs.google.com/spreadsheets/d/1SX6NBoVAgQJ6U1MVXOaj8PK2l7WJ3RER9xtqwdhxkhw/edit?usp=sharing"",""ฉะเชิงเทรา!J474"")"),0)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IFERROR(__xludf.DUMMYFUNCTION("IMPORTRANGE(""https://docs.google.com/spreadsheets/d/1SX6NBoVAgQJ6U1MVXOaj8PK2l7WJ3RER9xtqwdhxkhw/edit?usp=sharing"",""ฉะเชิงเทรา!I475"")"),200)</f>
        <v>200</v>
      </c>
      <c r="J580" s="371">
        <f ca="1">IFERROR(__xludf.DUMMYFUNCTION("IMPORTRANGE(""https://docs.google.com/spreadsheets/d/1SX6NBoVAgQJ6U1MVXOaj8PK2l7WJ3RER9xtqwdhxkhw/edit?usp=sharing"",""ฉะเชิงเทรา!J475"")"),0)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IFERROR(__xludf.DUMMYFUNCTION("IMPORTRANGE(""https://docs.google.com/spreadsheets/d/1SX6NBoVAgQJ6U1MVXOaj8PK2l7WJ3RER9xtqwdhxkhw/edit?usp=sharing"",""ฉะเชิงเทรา!L475"")"),328200)</f>
        <v>328200</v>
      </c>
      <c r="M580" s="373"/>
      <c r="N580" s="373">
        <f ca="1">IFERROR(__xludf.DUMMYFUNCTION("IMPORTRANGE(""https://docs.google.com/spreadsheets/d/1SX6NBoVAgQJ6U1MVXOaj8PK2l7WJ3RER9xtqwdhxkhw/edit?usp=sharing"",""ฉะเชิงเทรา!M475"")"),82259.62)</f>
        <v>82259.62</v>
      </c>
      <c r="O580" s="373">
        <f t="shared" ref="O580:O584" ca="1" si="124">+IF(L580&gt;0,N580*100/L580,0)</f>
        <v>25.063869591712372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IFERROR(__xludf.DUMMYFUNCTION("IMPORTRANGE(""https://docs.google.com/spreadsheets/d/1SX6NBoVAgQJ6U1MVXOaj8PK2l7WJ3RER9xtqwdhxkhw/edit?usp=sharing"",""ฉะเชิงเทรา!L476"")"),0)</f>
        <v>0</v>
      </c>
      <c r="M581" s="164"/>
      <c r="N581" s="169">
        <f ca="1">IFERROR(__xludf.DUMMYFUNCTION("IMPORTRANGE(""https://docs.google.com/spreadsheets/d/1SX6NBoVAgQJ6U1MVXOaj8PK2l7WJ3RER9xtqwdhxkhw/edit?usp=sharing"",""ฉะเชิงเทรา!M476"")"),0)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IFERROR(__xludf.DUMMYFUNCTION("IMPORTRANGE(""https://docs.google.com/spreadsheets/d/1SX6NBoVAgQJ6U1MVXOaj8PK2l7WJ3RER9xtqwdhxkhw/edit?usp=sharing"",""ฉะเชิงเทรา!L477"")"),328200)</f>
        <v>328200</v>
      </c>
      <c r="M582" s="165"/>
      <c r="N582" s="169">
        <f ca="1">IFERROR(__xludf.DUMMYFUNCTION("IMPORTRANGE(""https://docs.google.com/spreadsheets/d/1SX6NBoVAgQJ6U1MVXOaj8PK2l7WJ3RER9xtqwdhxkhw/edit?usp=sharing"",""ฉะเชิงเทรา!M477"")"),82259.62)</f>
        <v>82259.62</v>
      </c>
      <c r="O582" s="169">
        <f t="shared" ca="1" si="124"/>
        <v>25.063869591712372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IFERROR(__xludf.DUMMYFUNCTION("IMPORTRANGE(""https://docs.google.com/spreadsheets/d/1SX6NBoVAgQJ6U1MVXOaj8PK2l7WJ3RER9xtqwdhxkhw/edit?usp=sharing"",""ฉะเชิงเทรา!L478"")"),0)</f>
        <v>0</v>
      </c>
      <c r="M583" s="169"/>
      <c r="N583" s="169">
        <f ca="1">IFERROR(__xludf.DUMMYFUNCTION("IMPORTRANGE(""https://docs.google.com/spreadsheets/d/1SX6NBoVAgQJ6U1MVXOaj8PK2l7WJ3RER9xtqwdhxkhw/edit?usp=sharing"",""ฉะเชิงเทรา!M478"")"),0)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IFERROR(__xludf.DUMMYFUNCTION("IMPORTRANGE(""https://docs.google.com/spreadsheets/d/1SX6NBoVAgQJ6U1MVXOaj8PK2l7WJ3RER9xtqwdhxkhw/edit?usp=sharing"",""ฉะเชิงเทรา!L479"")"),328200)</f>
        <v>328200</v>
      </c>
      <c r="M584" s="169"/>
      <c r="N584" s="169">
        <f ca="1">IFERROR(__xludf.DUMMYFUNCTION("IMPORTRANGE(""https://docs.google.com/spreadsheets/d/1SX6NBoVAgQJ6U1MVXOaj8PK2l7WJ3RER9xtqwdhxkhw/edit?usp=sharing"",""ฉะเชิงเทรา!M479"")"),82259.62)</f>
        <v>82259.62</v>
      </c>
      <c r="O584" s="169">
        <f t="shared" ca="1" si="124"/>
        <v>25.063869591712372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IFERROR(__xludf.DUMMYFUNCTION("IMPORTRANGE(""https://docs.google.com/spreadsheets/d/1SX6NBoVAgQJ6U1MVXOaj8PK2l7WJ3RER9xtqwdhxkhw/edit?usp=sharing"",""ฉะเชิงเทรา!M480"")"),0)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IFERROR(__xludf.DUMMYFUNCTION("IMPORTRANGE(""https://docs.google.com/spreadsheets/d/1SX6NBoVAgQJ6U1MVXOaj8PK2l7WJ3RER9xtqwdhxkhw/edit?usp=sharing"",""ฉะเชิงเทรา!M481"")"),0)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IFERROR(__xludf.DUMMYFUNCTION("IMPORTRANGE(""https://docs.google.com/spreadsheets/d/1SX6NBoVAgQJ6U1MVXOaj8PK2l7WJ3RER9xtqwdhxkhw/edit?usp=sharing"",""ฉะเชิงเทรา!M482"")"),13933.28)</f>
        <v>13933.28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IFERROR(__xludf.DUMMYFUNCTION("IMPORTRANGE(""https://docs.google.com/spreadsheets/d/1SX6NBoVAgQJ6U1MVXOaj8PK2l7WJ3RER9xtqwdhxkhw/edit?usp=sharing"",""ฉะเชิงเทรา!M483"")"),68326.34)</f>
        <v>68326.34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IFERROR(__xludf.DUMMYFUNCTION("IMPORTRANGE(""https://docs.google.com/spreadsheets/d/1SX6NBoVAgQJ6U1MVXOaj8PK2l7WJ3RER9xtqwdhxkhw/edit?usp=sharing"",""ฉะเชิงเทรา!I484"")"),200)</f>
        <v>200</v>
      </c>
      <c r="J589" s="188">
        <f ca="1">IFERROR(__xludf.DUMMYFUNCTION("IMPORTRANGE(""https://docs.google.com/spreadsheets/d/1SX6NBoVAgQJ6U1MVXOaj8PK2l7WJ3RER9xtqwdhxkhw/edit?usp=sharing"",""ฉะเชิงเทรา!J484"")"),132)</f>
        <v>132</v>
      </c>
      <c r="K589" s="163">
        <f t="shared" ref="K589:K596" ca="1" si="125">IF(I589&gt;0,J589*100/I589,0)</f>
        <v>66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IFERROR(__xludf.DUMMYFUNCTION("IMPORTRANGE(""https://docs.google.com/spreadsheets/d/1SX6NBoVAgQJ6U1MVXOaj8PK2l7WJ3RER9xtqwdhxkhw/edit?usp=sharing"",""ฉะเชิงเทรา!I485"")"),0)</f>
        <v>0</v>
      </c>
      <c r="J590" s="188">
        <f ca="1">IFERROR(__xludf.DUMMYFUNCTION("IMPORTRANGE(""https://docs.google.com/spreadsheets/d/1SX6NBoVAgQJ6U1MVXOaj8PK2l7WJ3RER9xtqwdhxkhw/edit?usp=sharing"",""ฉะเชิงเทรา!J485"")"),115.92)</f>
        <v>115.92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IFERROR(__xludf.DUMMYFUNCTION("IMPORTRANGE(""https://docs.google.com/spreadsheets/d/1SX6NBoVAgQJ6U1MVXOaj8PK2l7WJ3RER9xtqwdhxkhw/edit?usp=sharing"",""ฉะเชิงเทรา!I486"")"),200)</f>
        <v>200</v>
      </c>
      <c r="J591" s="188">
        <f ca="1">IFERROR(__xludf.DUMMYFUNCTION("IMPORTRANGE(""https://docs.google.com/spreadsheets/d/1SX6NBoVAgQJ6U1MVXOaj8PK2l7WJ3RER9xtqwdhxkhw/edit?usp=sharing"",""ฉะเชิงเทรา!J486"")"),9)</f>
        <v>9</v>
      </c>
      <c r="K591" s="163">
        <f t="shared" ca="1" si="125"/>
        <v>4.5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IFERROR(__xludf.DUMMYFUNCTION("IMPORTRANGE(""https://docs.google.com/spreadsheets/d/1SX6NBoVAgQJ6U1MVXOaj8PK2l7WJ3RER9xtqwdhxkhw/edit?usp=sharing"",""ฉะเชิงเทรา!I487"")"),0)</f>
        <v>0</v>
      </c>
      <c r="J592" s="188">
        <f ca="1">IFERROR(__xludf.DUMMYFUNCTION("IMPORTRANGE(""https://docs.google.com/spreadsheets/d/1SX6NBoVAgQJ6U1MVXOaj8PK2l7WJ3RER9xtqwdhxkhw/edit?usp=sharing"",""ฉะเชิงเทรา!J487"")"),9.96)</f>
        <v>9.9600000000000009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IFERROR(__xludf.DUMMYFUNCTION("IMPORTRANGE(""https://docs.google.com/spreadsheets/d/1SX6NBoVAgQJ6U1MVXOaj8PK2l7WJ3RER9xtqwdhxkhw/edit?usp=sharing"",""ฉะเชิงเทรา!I488"")"),200)</f>
        <v>200</v>
      </c>
      <c r="J593" s="188">
        <f ca="1">IFERROR(__xludf.DUMMYFUNCTION("IMPORTRANGE(""https://docs.google.com/spreadsheets/d/1SX6NBoVAgQJ6U1MVXOaj8PK2l7WJ3RER9xtqwdhxkhw/edit?usp=sharing"",""ฉะเชิงเทรา!J488"")"),0)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IFERROR(__xludf.DUMMYFUNCTION("IMPORTRANGE(""https://docs.google.com/spreadsheets/d/1SX6NBoVAgQJ6U1MVXOaj8PK2l7WJ3RER9xtqwdhxkhw/edit?usp=sharing"",""ฉะเชิงเทรา!I489"")"),0)</f>
        <v>0</v>
      </c>
      <c r="J594" s="188">
        <f ca="1">IFERROR(__xludf.DUMMYFUNCTION("IMPORTRANGE(""https://docs.google.com/spreadsheets/d/1SX6NBoVAgQJ6U1MVXOaj8PK2l7WJ3RER9xtqwdhxkhw/edit?usp=sharing"",""ฉะเชิงเทรา!J489"")"),0)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IFERROR(__xludf.DUMMYFUNCTION("IMPORTRANGE(""https://docs.google.com/spreadsheets/d/1SX6NBoVAgQJ6U1MVXOaj8PK2l7WJ3RER9xtqwdhxkhw/edit?usp=sharing"",""ฉะเชิงเทรา!I490"")"),200)</f>
        <v>200</v>
      </c>
      <c r="J595" s="188">
        <f ca="1">IFERROR(__xludf.DUMMYFUNCTION("IMPORTRANGE(""https://docs.google.com/spreadsheets/d/1SX6NBoVAgQJ6U1MVXOaj8PK2l7WJ3RER9xtqwdhxkhw/edit?usp=sharing"",""ฉะเชิงเทรา!J490"")"),0)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IFERROR(__xludf.DUMMYFUNCTION("IMPORTRANGE(""https://docs.google.com/spreadsheets/d/1SX6NBoVAgQJ6U1MVXOaj8PK2l7WJ3RER9xtqwdhxkhw/edit?usp=sharing"",""ฉะเชิงเทรา!I491"")"),0)</f>
        <v>0</v>
      </c>
      <c r="J596" s="241">
        <f ca="1">IFERROR(__xludf.DUMMYFUNCTION("IMPORTRANGE(""https://docs.google.com/spreadsheets/d/1SX6NBoVAgQJ6U1MVXOaj8PK2l7WJ3RER9xtqwdhxkhw/edit?usp=sharing"",""ฉะเชิงเทรา!J491"")"),0)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IFERROR(__xludf.DUMMYFUNCTION("IMPORTRANGE(""https://docs.google.com/spreadsheets/d/1SX6NBoVAgQJ6U1MVXOaj8PK2l7WJ3RER9xtqwdhxkhw/edit?usp=sharing"",""ฉะเชิงเทรา!I492"")"),52)</f>
        <v>52</v>
      </c>
      <c r="J597" s="487">
        <f ca="1">IFERROR(__xludf.DUMMYFUNCTION("IMPORTRANGE(""https://docs.google.com/spreadsheets/d/1SX6NBoVAgQJ6U1MVXOaj8PK2l7WJ3RER9xtqwdhxkhw/edit?usp=sharing"",""ฉะเชิงเทรา!J492"")"),0)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IFERROR(__xludf.DUMMYFUNCTION("IMPORTRANGE(""https://docs.google.com/spreadsheets/d/1SX6NBoVAgQJ6U1MVXOaj8PK2l7WJ3RER9xtqwdhxkhw/edit?usp=sharing"",""ฉะเชิงเทรา!L492"")"),5460)</f>
        <v>5460</v>
      </c>
      <c r="M597" s="412"/>
      <c r="N597" s="412">
        <f ca="1">IFERROR(__xludf.DUMMYFUNCTION("IMPORTRANGE(""https://docs.google.com/spreadsheets/d/1SX6NBoVAgQJ6U1MVXOaj8PK2l7WJ3RER9xtqwdhxkhw/edit?usp=sharing"",""ฉะเชิงเทรา!M492"")"),900)</f>
        <v>900</v>
      </c>
      <c r="O597" s="412">
        <f t="shared" ref="O597:O601" ca="1" si="126">+IF(L597&gt;0,N597*100/L597,0)</f>
        <v>16.483516483516482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IFERROR(__xludf.DUMMYFUNCTION("IMPORTRANGE(""https://docs.google.com/spreadsheets/d/1SX6NBoVAgQJ6U1MVXOaj8PK2l7WJ3RER9xtqwdhxkhw/edit?usp=sharing"",""ฉะเชิงเทรา!L493"")"),0)</f>
        <v>0</v>
      </c>
      <c r="M598" s="164"/>
      <c r="N598" s="169">
        <f ca="1">IFERROR(__xludf.DUMMYFUNCTION("IMPORTRANGE(""https://docs.google.com/spreadsheets/d/1SX6NBoVAgQJ6U1MVXOaj8PK2l7WJ3RER9xtqwdhxkhw/edit?usp=sharing"",""ฉะเชิงเทรา!M493"")"),0)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IFERROR(__xludf.DUMMYFUNCTION("IMPORTRANGE(""https://docs.google.com/spreadsheets/d/1SX6NBoVAgQJ6U1MVXOaj8PK2l7WJ3RER9xtqwdhxkhw/edit?usp=sharing"",""ฉะเชิงเทรา!L494"")"),5460)</f>
        <v>5460</v>
      </c>
      <c r="M599" s="165"/>
      <c r="N599" s="169">
        <f ca="1">IFERROR(__xludf.DUMMYFUNCTION("IMPORTRANGE(""https://docs.google.com/spreadsheets/d/1SX6NBoVAgQJ6U1MVXOaj8PK2l7WJ3RER9xtqwdhxkhw/edit?usp=sharing"",""ฉะเชิงเทรา!M494"")"),900)</f>
        <v>900</v>
      </c>
      <c r="O599" s="169">
        <f t="shared" ca="1" si="126"/>
        <v>16.483516483516482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IFERROR(__xludf.DUMMYFUNCTION("IMPORTRANGE(""https://docs.google.com/spreadsheets/d/1SX6NBoVAgQJ6U1MVXOaj8PK2l7WJ3RER9xtqwdhxkhw/edit?usp=sharing"",""ฉะเชิงเทรา!L495"")"),0)</f>
        <v>0</v>
      </c>
      <c r="M600" s="169"/>
      <c r="N600" s="169">
        <f ca="1">IFERROR(__xludf.DUMMYFUNCTION("IMPORTRANGE(""https://docs.google.com/spreadsheets/d/1SX6NBoVAgQJ6U1MVXOaj8PK2l7WJ3RER9xtqwdhxkhw/edit?usp=sharing"",""ฉะเชิงเทรา!M495"")"),0)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IFERROR(__xludf.DUMMYFUNCTION("IMPORTRANGE(""https://docs.google.com/spreadsheets/d/1SX6NBoVAgQJ6U1MVXOaj8PK2l7WJ3RER9xtqwdhxkhw/edit?usp=sharing"",""ฉะเชิงเทรา!L496"")"),5460)</f>
        <v>5460</v>
      </c>
      <c r="M601" s="169"/>
      <c r="N601" s="169">
        <f ca="1">IFERROR(__xludf.DUMMYFUNCTION("IMPORTRANGE(""https://docs.google.com/spreadsheets/d/1SX6NBoVAgQJ6U1MVXOaj8PK2l7WJ3RER9xtqwdhxkhw/edit?usp=sharing"",""ฉะเชิงเทรา!M496"")"),900)</f>
        <v>900</v>
      </c>
      <c r="O601" s="169">
        <f t="shared" ca="1" si="126"/>
        <v>16.483516483516482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IFERROR(__xludf.DUMMYFUNCTION("IMPORTRANGE(""https://docs.google.com/spreadsheets/d/1SX6NBoVAgQJ6U1MVXOaj8PK2l7WJ3RER9xtqwdhxkhw/edit?usp=sharing"",""ฉะเชิงเทรา!M497"")"),0)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IFERROR(__xludf.DUMMYFUNCTION("IMPORTRANGE(""https://docs.google.com/spreadsheets/d/1SX6NBoVAgQJ6U1MVXOaj8PK2l7WJ3RER9xtqwdhxkhw/edit?usp=sharing"",""ฉะเชิงเทรา!M498"")"),0)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IFERROR(__xludf.DUMMYFUNCTION("IMPORTRANGE(""https://docs.google.com/spreadsheets/d/1SX6NBoVAgQJ6U1MVXOaj8PK2l7WJ3RER9xtqwdhxkhw/edit?usp=sharing"",""ฉะเชิงเทรา!M499"")"),0)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IFERROR(__xludf.DUMMYFUNCTION("IMPORTRANGE(""https://docs.google.com/spreadsheets/d/1SX6NBoVAgQJ6U1MVXOaj8PK2l7WJ3RER9xtqwdhxkhw/edit?usp=sharing"",""ฉะเชิงเทรา!M500"")"),900)</f>
        <v>900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IFERROR(__xludf.DUMMYFUNCTION("IMPORTRANGE(""https://docs.google.com/spreadsheets/d/1SX6NBoVAgQJ6U1MVXOaj8PK2l7WJ3RER9xtqwdhxkhw/edit?usp=sharing"",""ฉะเชิงเทรา!J502"")"),0)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IFERROR(__xludf.DUMMYFUNCTION("IMPORTRANGE(""https://docs.google.com/spreadsheets/d/1SX6NBoVAgQJ6U1MVXOaj8PK2l7WJ3RER9xtqwdhxkhw/edit?usp=sharing"",""ฉะเชิงเทรา!J503"")"),1)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IFERROR(__xludf.DUMMYFUNCTION("IMPORTRANGE(""https://docs.google.com/spreadsheets/d/1SX6NBoVAgQJ6U1MVXOaj8PK2l7WJ3RER9xtqwdhxkhw/edit?usp=sharing"",""ฉะเชิงเทรา!J166"")"),0)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IFERROR(__xludf.DUMMYFUNCTION("IMPORTRANGE(""https://docs.google.com/spreadsheets/d/1SX6NBoVAgQJ6U1MVXOaj8PK2l7WJ3RER9xtqwdhxkhw/edit?usp=sharing"",""ฉะเชิงเทรา!J166"")"),0)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IFERROR(__xludf.DUMMYFUNCTION("IMPORTRANGE(""https://docs.google.com/spreadsheets/d/1SX6NBoVAgQJ6U1MVXOaj8PK2l7WJ3RER9xtqwdhxkhw/edit?usp=sharing"",""ฉะเชิงเทรา!I506"")"),52)</f>
        <v>52</v>
      </c>
      <c r="J611" s="162">
        <f ca="1">IFERROR(__xludf.DUMMYFUNCTION("IMPORTRANGE(""https://docs.google.com/spreadsheets/d/1SX6NBoVAgQJ6U1MVXOaj8PK2l7WJ3RER9xtqwdhxkhw/edit?usp=sharing"",""ฉะเชิงเทรา!J506"")"),0)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IFERROR(__xludf.DUMMYFUNCTION("IMPORTRANGE(""https://docs.google.com/spreadsheets/d/1SX6NBoVAgQJ6U1MVXOaj8PK2l7WJ3RER9xtqwdhxkhw/edit?usp=sharing"",""ฉะเชิงเทรา!I507"")"),0)</f>
        <v>0</v>
      </c>
      <c r="J612" s="198">
        <f ca="1">IFERROR(__xludf.DUMMYFUNCTION("IMPORTRANGE(""https://docs.google.com/spreadsheets/d/1SX6NBoVAgQJ6U1MVXOaj8PK2l7WJ3RER9xtqwdhxkhw/edit?usp=sharing"",""ฉะเชิงเทรา!J507"")"),50.055)</f>
        <v>50.055</v>
      </c>
      <c r="K612" s="163">
        <f t="shared" ca="1" si="127"/>
        <v>96.259615384615387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IFERROR(__xludf.DUMMYFUNCTION("IMPORTRANGE(""https://docs.google.com/spreadsheets/d/1SX6NBoVAgQJ6U1MVXOaj8PK2l7WJ3RER9xtqwdhxkhw/edit?usp=sharing"",""ฉะเชิงเทรา!I508"")"),0)</f>
        <v>0</v>
      </c>
      <c r="J613" s="198">
        <f ca="1">IFERROR(__xludf.DUMMYFUNCTION("IMPORTRANGE(""https://docs.google.com/spreadsheets/d/1SX6NBoVAgQJ6U1MVXOaj8PK2l7WJ3RER9xtqwdhxkhw/edit?usp=sharing"",""ฉะเชิงเทรา!J508"")"),0)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IFERROR(__xludf.DUMMYFUNCTION("IMPORTRANGE(""https://docs.google.com/spreadsheets/d/1SX6NBoVAgQJ6U1MVXOaj8PK2l7WJ3RER9xtqwdhxkhw/edit?usp=sharing"",""ฉะเชิงเทรา!I509"")"),0)</f>
        <v>0</v>
      </c>
      <c r="J614" s="198">
        <f ca="1">IFERROR(__xludf.DUMMYFUNCTION("IMPORTRANGE(""https://docs.google.com/spreadsheets/d/1SX6NBoVAgQJ6U1MVXOaj8PK2l7WJ3RER9xtqwdhxkhw/edit?usp=sharing"",""ฉะเชิงเทรา!J509"")"),0)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IFERROR(__xludf.DUMMYFUNCTION("IMPORTRANGE(""https://docs.google.com/spreadsheets/d/1SX6NBoVAgQJ6U1MVXOaj8PK2l7WJ3RER9xtqwdhxkhw/edit?usp=sharing"",""ฉะเชิงเทรา!I510"")"),0)</f>
        <v>0</v>
      </c>
      <c r="J615" s="198">
        <f ca="1">IFERROR(__xludf.DUMMYFUNCTION("IMPORTRANGE(""https://docs.google.com/spreadsheets/d/1SX6NBoVAgQJ6U1MVXOaj8PK2l7WJ3RER9xtqwdhxkhw/edit?usp=sharing"",""ฉะเชิงเทรา!J510"")"),0)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IFERROR(__xludf.DUMMYFUNCTION("IMPORTRANGE(""https://docs.google.com/spreadsheets/d/1SX6NBoVAgQJ6U1MVXOaj8PK2l7WJ3RER9xtqwdhxkhw/edit?usp=sharing"",""ฉะเชิงเทรา!I511"")"),0)</f>
        <v>0</v>
      </c>
      <c r="J616" s="198">
        <f ca="1">IFERROR(__xludf.DUMMYFUNCTION("IMPORTRANGE(""https://docs.google.com/spreadsheets/d/1SX6NBoVAgQJ6U1MVXOaj8PK2l7WJ3RER9xtqwdhxkhw/edit?usp=sharing"",""ฉะเชิงเทรา!J511"")"),0)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IFERROR(__xludf.DUMMYFUNCTION("IMPORTRANGE(""https://docs.google.com/spreadsheets/d/1SX6NBoVAgQJ6U1MVXOaj8PK2l7WJ3RER9xtqwdhxkhw/edit?usp=sharing"",""ฉะเชิงเทรา!I512"")"),0)</f>
        <v>0</v>
      </c>
      <c r="J617" s="188">
        <f ca="1">IFERROR(__xludf.DUMMYFUNCTION("IMPORTRANGE(""https://docs.google.com/spreadsheets/d/1SX6NBoVAgQJ6U1MVXOaj8PK2l7WJ3RER9xtqwdhxkhw/edit?usp=sharing"",""ฉะเชิงเทรา!J512"")"),0)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IFERROR(__xludf.DUMMYFUNCTION("IMPORTRANGE(""https://docs.google.com/spreadsheets/d/1SX6NBoVAgQJ6U1MVXOaj8PK2l7WJ3RER9xtqwdhxkhw/edit?usp=sharing"",""ฉะเชิงเทรา!I513"")"),0)</f>
        <v>0</v>
      </c>
      <c r="J618" s="189">
        <f ca="1">IFERROR(__xludf.DUMMYFUNCTION("IMPORTRANGE(""https://docs.google.com/spreadsheets/d/1SX6NBoVAgQJ6U1MVXOaj8PK2l7WJ3RER9xtqwdhxkhw/edit?usp=sharing"",""ฉะเชิงเทรา!J513"")"),0)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IFERROR(__xludf.DUMMYFUNCTION("IMPORTRANGE(""https://docs.google.com/spreadsheets/d/1SX6NBoVAgQJ6U1MVXOaj8PK2l7WJ3RER9xtqwdhxkhw/edit?usp=sharing"",""ฉะเชิงเทรา!I514"")"),0)</f>
        <v>0</v>
      </c>
      <c r="J619" s="189">
        <f ca="1">IFERROR(__xludf.DUMMYFUNCTION("IMPORTRANGE(""https://docs.google.com/spreadsheets/d/1SX6NBoVAgQJ6U1MVXOaj8PK2l7WJ3RER9xtqwdhxkhw/edit?usp=sharing"",""ฉะเชิงเทรา!J514"")"),0)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IFERROR(__xludf.DUMMYFUNCTION("IMPORTRANGE(""https://docs.google.com/spreadsheets/d/1SX6NBoVAgQJ6U1MVXOaj8PK2l7WJ3RER9xtqwdhxkhw/edit?usp=sharing"",""ฉะเชิงเทรา!I515"")"),0)</f>
        <v>0</v>
      </c>
      <c r="J620" s="203">
        <f ca="1">IFERROR(__xludf.DUMMYFUNCTION("IMPORTRANGE(""https://docs.google.com/spreadsheets/d/1SX6NBoVAgQJ6U1MVXOaj8PK2l7WJ3RER9xtqwdhxkhw/edit?usp=sharing"",""ฉะเชิงเทรา!J515"")"),0)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IFERROR(__xludf.DUMMYFUNCTION("IMPORTRANGE(""https://docs.google.com/spreadsheets/d/1SX6NBoVAgQJ6U1MVXOaj8PK2l7WJ3RER9xtqwdhxkhw/edit?usp=sharing"",""ฉะเชิงเทรา!I516"")"),0)</f>
        <v>0</v>
      </c>
      <c r="J621" s="203">
        <f ca="1">IFERROR(__xludf.DUMMYFUNCTION("IMPORTRANGE(""https://docs.google.com/spreadsheets/d/1SX6NBoVAgQJ6U1MVXOaj8PK2l7WJ3RER9xtqwdhxkhw/edit?usp=sharing"",""ฉะเชิงเทรา!J516"")"),0)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IFERROR(__xludf.DUMMYFUNCTION("IMPORTRANGE(""https://docs.google.com/spreadsheets/d/1SX6NBoVAgQJ6U1MVXOaj8PK2l7WJ3RER9xtqwdhxkhw/edit?usp=sharing"",""ฉะเชิงเทรา!I517"")"),0)</f>
        <v>0</v>
      </c>
      <c r="J622" s="189">
        <f ca="1">IFERROR(__xludf.DUMMYFUNCTION("IMPORTRANGE(""https://docs.google.com/spreadsheets/d/1SX6NBoVAgQJ6U1MVXOaj8PK2l7WJ3RER9xtqwdhxkhw/edit?usp=sharing"",""ฉะเชิงเทรา!J517"")"),0)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IFERROR(__xludf.DUMMYFUNCTION("IMPORTRANGE(""https://docs.google.com/spreadsheets/d/1SX6NBoVAgQJ6U1MVXOaj8PK2l7WJ3RER9xtqwdhxkhw/edit?usp=sharing"",""ฉะเชิงเทรา!I518"")"),0)</f>
        <v>0</v>
      </c>
      <c r="J623" s="189">
        <f ca="1">IFERROR(__xludf.DUMMYFUNCTION("IMPORTRANGE(""https://docs.google.com/spreadsheets/d/1SX6NBoVAgQJ6U1MVXOaj8PK2l7WJ3RER9xtqwdhxkhw/edit?usp=sharing"",""ฉะเชิงเทรา!J518"")"),0)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IFERROR(__xludf.DUMMYFUNCTION("IMPORTRANGE(""https://docs.google.com/spreadsheets/d/1SX6NBoVAgQJ6U1MVXOaj8PK2l7WJ3RER9xtqwdhxkhw/edit?usp=sharing"",""ฉะเชิงเทรา!I519"")"),0)</f>
        <v>0</v>
      </c>
      <c r="J624" s="188">
        <f ca="1">IFERROR(__xludf.DUMMYFUNCTION("IMPORTRANGE(""https://docs.google.com/spreadsheets/d/1SX6NBoVAgQJ6U1MVXOaj8PK2l7WJ3RER9xtqwdhxkhw/edit?usp=sharing"",""ฉะเชิงเทรา!J519"")"),0)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IFERROR(__xludf.DUMMYFUNCTION("IMPORTRANGE(""https://docs.google.com/spreadsheets/d/1SX6NBoVAgQJ6U1MVXOaj8PK2l7WJ3RER9xtqwdhxkhw/edit?usp=sharing"",""ฉะเชิงเทรา!I520"")"),0)</f>
        <v>0</v>
      </c>
      <c r="J625" s="189">
        <f ca="1">IFERROR(__xludf.DUMMYFUNCTION("IMPORTRANGE(""https://docs.google.com/spreadsheets/d/1SX6NBoVAgQJ6U1MVXOaj8PK2l7WJ3RER9xtqwdhxkhw/edit?usp=sharing"",""ฉะเชิงเทรา!J520"")"),0)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IFERROR(__xludf.DUMMYFUNCTION("IMPORTRANGE(""https://docs.google.com/spreadsheets/d/1SX6NBoVAgQJ6U1MVXOaj8PK2l7WJ3RER9xtqwdhxkhw/edit?usp=sharing"",""ฉะเชิงเทรา!I521"")"),0)</f>
        <v>0</v>
      </c>
      <c r="J626" s="189">
        <f ca="1">IFERROR(__xludf.DUMMYFUNCTION("IMPORTRANGE(""https://docs.google.com/spreadsheets/d/1SX6NBoVAgQJ6U1MVXOaj8PK2l7WJ3RER9xtqwdhxkhw/edit?usp=sharing"",""ฉะเชิงเทรา!J521"")"),0)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IFERROR(__xludf.DUMMYFUNCTION("IMPORTRANGE(""https://docs.google.com/spreadsheets/d/1SX6NBoVAgQJ6U1MVXOaj8PK2l7WJ3RER9xtqwdhxkhw/edit?usp=sharing"",""ฉะเชิงเทรา!I523"")"),3842037.07)</f>
        <v>3842037.07</v>
      </c>
      <c r="J628" s="341">
        <f ca="1">IFERROR(__xludf.DUMMYFUNCTION("IMPORTRANGE(""https://docs.google.com/spreadsheets/d/1SX6NBoVAgQJ6U1MVXOaj8PK2l7WJ3RER9xtqwdhxkhw/edit?usp=sharing"",""ฉะเชิงเทรา!J523"")"),2207469.29)</f>
        <v>2207469.29</v>
      </c>
      <c r="K628" s="342">
        <f t="shared" ref="K628:K635" ca="1" si="129">IF(I628&gt;0,J628*100/I628,0)</f>
        <v>57.455699926393478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IFERROR(__xludf.DUMMYFUNCTION("IMPORTRANGE(""https://docs.google.com/spreadsheets/d/1SX6NBoVAgQJ6U1MVXOaj8PK2l7WJ3RER9xtqwdhxkhw/edit?usp=sharing"",""ฉะเชิงเทรา!I524"")"),157)</f>
        <v>157</v>
      </c>
      <c r="J629" s="341">
        <f ca="1">IFERROR(__xludf.DUMMYFUNCTION("IMPORTRANGE(""https://docs.google.com/spreadsheets/d/1SX6NBoVAgQJ6U1MVXOaj8PK2l7WJ3RER9xtqwdhxkhw/edit?usp=sharing"",""ฉะเชิงเทรา!J524"")"),122)</f>
        <v>122</v>
      </c>
      <c r="K629" s="342">
        <f t="shared" ca="1" si="129"/>
        <v>77.70700636942675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IFERROR(__xludf.DUMMYFUNCTION("IMPORTRANGE(""https://docs.google.com/spreadsheets/d/1SX6NBoVAgQJ6U1MVXOaj8PK2l7WJ3RER9xtqwdhxkhw/edit?usp=sharing"",""ฉะเชิงเทรา!I525"")"),10414385.09)</f>
        <v>10414385.09</v>
      </c>
      <c r="J630" s="341">
        <f ca="1">IFERROR(__xludf.DUMMYFUNCTION("IMPORTRANGE(""https://docs.google.com/spreadsheets/d/1SX6NBoVAgQJ6U1MVXOaj8PK2l7WJ3RER9xtqwdhxkhw/edit?usp=sharing"",""ฉะเชิงเทรา!J525"")"),885732.83)</f>
        <v>885732.83</v>
      </c>
      <c r="K630" s="342">
        <f t="shared" ca="1" si="129"/>
        <v>8.5048980073772178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IFERROR(__xludf.DUMMYFUNCTION("IMPORTRANGE(""https://docs.google.com/spreadsheets/d/1SX6NBoVAgQJ6U1MVXOaj8PK2l7WJ3RER9xtqwdhxkhw/edit?usp=sharing"",""ฉะเชิงเทรา!I526"")"),275)</f>
        <v>275</v>
      </c>
      <c r="J631" s="341">
        <f ca="1">IFERROR(__xludf.DUMMYFUNCTION("IMPORTRANGE(""https://docs.google.com/spreadsheets/d/1SX6NBoVAgQJ6U1MVXOaj8PK2l7WJ3RER9xtqwdhxkhw/edit?usp=sharing"",""ฉะเชิงเทรา!J526"")"),84)</f>
        <v>84</v>
      </c>
      <c r="K631" s="342">
        <f t="shared" ca="1" si="129"/>
        <v>30.545454545454547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IFERROR(__xludf.DUMMYFUNCTION("IMPORTRANGE(""https://docs.google.com/spreadsheets/d/1SX6NBoVAgQJ6U1MVXOaj8PK2l7WJ3RER9xtqwdhxkhw/edit?usp=sharing"",""ฉะเชิงเทรา!I527"")"),5666161.9)</f>
        <v>5666161.9000000004</v>
      </c>
      <c r="J632" s="341">
        <f ca="1">IFERROR(__xludf.DUMMYFUNCTION("IMPORTRANGE(""https://docs.google.com/spreadsheets/d/1SX6NBoVAgQJ6U1MVXOaj8PK2l7WJ3RER9xtqwdhxkhw/edit?usp=sharing"",""ฉะเชิงเทรา!J527"")"),1360021.81)</f>
        <v>1360021.81</v>
      </c>
      <c r="K632" s="342">
        <f t="shared" ca="1" si="129"/>
        <v>24.002522942381859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IFERROR(__xludf.DUMMYFUNCTION("IMPORTRANGE(""https://docs.google.com/spreadsheets/d/1SX6NBoVAgQJ6U1MVXOaj8PK2l7WJ3RER9xtqwdhxkhw/edit?usp=sharing"",""ฉะเชิงเทรา!I528"")"),2632)</f>
        <v>2632</v>
      </c>
      <c r="J633" s="341">
        <f ca="1">IFERROR(__xludf.DUMMYFUNCTION("IMPORTRANGE(""https://docs.google.com/spreadsheets/d/1SX6NBoVAgQJ6U1MVXOaj8PK2l7WJ3RER9xtqwdhxkhw/edit?usp=sharing"",""ฉะเชิงเทรา!J528"")"),660)</f>
        <v>660</v>
      </c>
      <c r="K633" s="342">
        <f t="shared" ca="1" si="129"/>
        <v>25.075987841945288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IFERROR(__xludf.DUMMYFUNCTION("IMPORTRANGE(""https://docs.google.com/spreadsheets/d/1SX6NBoVAgQJ6U1MVXOaj8PK2l7WJ3RER9xtqwdhxkhw/edit?usp=sharing"",""ฉะเชิงเทรา!I529"")"),3000000)</f>
        <v>3000000</v>
      </c>
      <c r="J634" s="341">
        <f ca="1">IFERROR(__xludf.DUMMYFUNCTION("IMPORTRANGE(""https://docs.google.com/spreadsheets/d/1SX6NBoVAgQJ6U1MVXOaj8PK2l7WJ3RER9xtqwdhxkhw/edit?usp=sharing"",""ฉะเชิงเทรา!J529"")"),1200000)</f>
        <v>1200000</v>
      </c>
      <c r="K634" s="342">
        <f t="shared" ca="1" si="129"/>
        <v>40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IFERROR(__xludf.DUMMYFUNCTION("IMPORTRANGE(""https://docs.google.com/spreadsheets/d/1SX6NBoVAgQJ6U1MVXOaj8PK2l7WJ3RER9xtqwdhxkhw/edit?usp=sharing"",""ฉะเชิงเทรา!I530"")"),100)</f>
        <v>100</v>
      </c>
      <c r="J635" s="504">
        <f ca="1">IFERROR(__xludf.DUMMYFUNCTION("IMPORTRANGE(""https://docs.google.com/spreadsheets/d/1SX6NBoVAgQJ6U1MVXOaj8PK2l7WJ3RER9xtqwdhxkhw/edit?usp=sharing"",""ฉะเชิงเทรา!J530"")"),38)</f>
        <v>38</v>
      </c>
      <c r="K635" s="486">
        <f t="shared" ca="1" si="129"/>
        <v>38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G556" sqref="G55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244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5289494</v>
      </c>
      <c r="M8" s="23">
        <f t="shared" ca="1" si="0"/>
        <v>2968457.74</v>
      </c>
      <c r="N8" s="23">
        <f t="shared" ca="1" si="0"/>
        <v>2359103.08</v>
      </c>
      <c r="O8" s="22">
        <f t="shared" ref="O8:O16" ca="1" si="1">IF(L8&gt;0,N8*100/L8,0)</f>
        <v>44.599787427682116</v>
      </c>
      <c r="P8" s="22">
        <f t="shared" ref="P8:P16" ca="1" si="2">IF(M8&gt;0,N8*100/M8,0)</f>
        <v>79.472348492992182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5289494</v>
      </c>
      <c r="M10" s="30">
        <f t="shared" ca="1" si="4"/>
        <v>2968457.74</v>
      </c>
      <c r="N10" s="30">
        <f t="shared" ca="1" si="4"/>
        <v>2359103.08</v>
      </c>
      <c r="O10" s="29">
        <f t="shared" ca="1" si="1"/>
        <v>44.599787427682116</v>
      </c>
      <c r="P10" s="29">
        <f t="shared" ca="1" si="2"/>
        <v>79.472348492992182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4803094</v>
      </c>
      <c r="M12" s="38">
        <f t="shared" ca="1" si="6"/>
        <v>2482057.7400000002</v>
      </c>
      <c r="N12" s="38">
        <f t="shared" ca="1" si="6"/>
        <v>1872703.08</v>
      </c>
      <c r="O12" s="38">
        <f t="shared" ca="1" si="1"/>
        <v>38.989515508128719</v>
      </c>
      <c r="P12" s="38">
        <f t="shared" ca="1" si="2"/>
        <v>75.449617864248395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1866100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2936994</v>
      </c>
      <c r="M14" s="38">
        <f t="shared" si="8"/>
        <v>0</v>
      </c>
      <c r="N14" s="38">
        <f t="shared" ca="1" si="8"/>
        <v>304341.74</v>
      </c>
      <c r="O14" s="38">
        <f t="shared" ca="1" si="1"/>
        <v>10.362354843081055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486400</v>
      </c>
      <c r="M16" s="38">
        <f t="shared" ca="1" si="10"/>
        <v>486400</v>
      </c>
      <c r="N16" s="38">
        <f t="shared" ca="1" si="10"/>
        <v>486400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3682960</v>
      </c>
      <c r="M18" s="23">
        <f t="shared" ca="1" si="11"/>
        <v>2968457.74</v>
      </c>
      <c r="N18" s="23">
        <f t="shared" ca="1" si="11"/>
        <v>2054761.34</v>
      </c>
      <c r="O18" s="22">
        <f t="shared" ref="O18:O20" ca="1" si="12">IF(L18&gt;0,N18*100/L18,0)</f>
        <v>55.791030584095402</v>
      </c>
      <c r="P18" s="22">
        <f t="shared" ref="P18:P26" ca="1" si="13">IF(M18&gt;0,N18*100/M18,0)</f>
        <v>69.219827936644293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3682960</v>
      </c>
      <c r="M20" s="30">
        <f t="shared" ca="1" si="15"/>
        <v>2968457.74</v>
      </c>
      <c r="N20" s="30">
        <f t="shared" ca="1" si="15"/>
        <v>2054761.34</v>
      </c>
      <c r="O20" s="29">
        <f t="shared" ca="1" si="12"/>
        <v>55.791030584095402</v>
      </c>
      <c r="P20" s="29">
        <f t="shared" ca="1" si="13"/>
        <v>69.219827936644293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3196560</v>
      </c>
      <c r="M22" s="41">
        <f t="shared" ca="1" si="18"/>
        <v>2482057.7400000002</v>
      </c>
      <c r="N22" s="38">
        <f t="shared" ca="1" si="18"/>
        <v>1568361.34</v>
      </c>
      <c r="O22" s="38">
        <f t="shared" ca="1" si="17"/>
        <v>49.064035713391895</v>
      </c>
      <c r="P22" s="38">
        <f t="shared" ca="1" si="13"/>
        <v>63.187947432681398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1866100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1330460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486400</v>
      </c>
      <c r="M26" s="49">
        <f t="shared" ca="1" si="22"/>
        <v>486400</v>
      </c>
      <c r="N26" s="49">
        <f t="shared" ca="1" si="22"/>
        <v>486400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1606534</v>
      </c>
      <c r="M28" s="23">
        <f t="shared" si="23"/>
        <v>0</v>
      </c>
      <c r="N28" s="23">
        <f t="shared" ca="1" si="23"/>
        <v>304341.74</v>
      </c>
      <c r="O28" s="22">
        <f t="shared" ref="O28:O30" ca="1" si="24">IF(L28&gt;0,N28*100/L28,0)</f>
        <v>18.943996205495807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1606534</v>
      </c>
      <c r="M30" s="30">
        <f t="shared" si="27"/>
        <v>0</v>
      </c>
      <c r="N30" s="30">
        <f t="shared" ca="1" si="27"/>
        <v>304341.74</v>
      </c>
      <c r="O30" s="29">
        <f t="shared" ca="1" si="24"/>
        <v>18.943996205495807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1606534</v>
      </c>
      <c r="M32" s="38">
        <f t="shared" si="30"/>
        <v>0</v>
      </c>
      <c r="N32" s="38">
        <f t="shared" ca="1" si="30"/>
        <v>304341.74</v>
      </c>
      <c r="O32" s="38">
        <f t="shared" ca="1" si="29"/>
        <v>18.943996205495807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1606534</v>
      </c>
      <c r="M34" s="38">
        <f t="shared" si="32"/>
        <v>0</v>
      </c>
      <c r="N34" s="38">
        <f t="shared" ca="1" si="32"/>
        <v>304341.74</v>
      </c>
      <c r="O34" s="38">
        <f t="shared" ca="1" si="29"/>
        <v>18.943996205495807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3682960</v>
      </c>
      <c r="M37" s="54">
        <f t="shared" ca="1" si="33"/>
        <v>2968457.74</v>
      </c>
      <c r="N37" s="54">
        <f t="shared" ca="1" si="33"/>
        <v>2054761.34</v>
      </c>
      <c r="O37" s="55">
        <f t="shared" ca="1" si="29"/>
        <v>55.791030584095402</v>
      </c>
      <c r="P37" s="55">
        <f t="shared" ca="1" si="25"/>
        <v>69.219827936644293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1071100</v>
      </c>
      <c r="M41" s="78">
        <f t="shared" ca="1" si="34"/>
        <v>895100</v>
      </c>
      <c r="N41" s="78">
        <f t="shared" ca="1" si="34"/>
        <v>748627.32000000007</v>
      </c>
      <c r="O41" s="77">
        <f t="shared" ref="O41:O43" ca="1" si="35">IF(L41&gt;0,N41*100/L41,0)</f>
        <v>69.89331715059285</v>
      </c>
      <c r="P41" s="77">
        <f t="shared" ref="P41:P43" ca="1" si="36">IF(M41&gt;0,N41*100/M41,0)</f>
        <v>83.636165791531667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1071100</v>
      </c>
      <c r="M43" s="78">
        <f t="shared" ca="1" si="38"/>
        <v>895100</v>
      </c>
      <c r="N43" s="78">
        <f t="shared" ca="1" si="38"/>
        <v>748627.32000000007</v>
      </c>
      <c r="O43" s="77">
        <f t="shared" ca="1" si="35"/>
        <v>69.89331715059285</v>
      </c>
      <c r="P43" s="77">
        <f t="shared" ca="1" si="36"/>
        <v>83.636165791531667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704100</v>
      </c>
      <c r="M45" s="49">
        <f ca="1">IFERROR(__xludf.DUMMYFUNCTION("IMPORTRANGE(""https://docs.google.com/spreadsheets/d/1Yj_ptqi66GCucihVvJfMjLAmec39IyEx_6qawtMGysU/edit?usp=sharing"",""สบก!Q62"")"),528100)</f>
        <v>528100</v>
      </c>
      <c r="N45" s="49">
        <f ca="1">IFERROR(__xludf.DUMMYFUNCTION("IMPORTRANGE(""https://docs.google.com/spreadsheets/d/1Yj_ptqi66GCucihVvJfMjLAmec39IyEx_6qawtMGysU/edit?usp=sharing"",""สบก!R62"")"),381627.32)</f>
        <v>381627.32</v>
      </c>
      <c r="O45" s="38">
        <f ca="1">IF(L45&gt;0,N45*100/L45,0)</f>
        <v>54.200727169436156</v>
      </c>
      <c r="P45" s="38">
        <f ca="1">IF(M45&gt;0,N45*100/M45,0)</f>
        <v>72.264215110774472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IFERROR(__xludf.DUMMYFUNCTION("IMPORTRANGE(""https://docs.google.com/spreadsheets/d/1Yj_ptqi66GCucihVvJfMjLAmec39IyEx_6qawtMGysU/edit?usp=sharing"",""สบก!M62"")"),704100)</f>
        <v>704100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IFERROR(__xludf.DUMMYFUNCTION("IMPORTRANGE(""https://docs.google.com/spreadsheets/d/1Yj_ptqi66GCucihVvJfMjLAmec39IyEx_6qawtMGysU/edit?usp=sharing"",""สบก!O62"")"),367000)</f>
        <v>367000</v>
      </c>
      <c r="M49" s="49">
        <f ca="1">L49</f>
        <v>367000</v>
      </c>
      <c r="N49" s="49">
        <f ca="1">IFERROR(__xludf.DUMMYFUNCTION("IMPORTRANGE(""https://docs.google.com/spreadsheets/d/1Yj_ptqi66GCucihVvJfMjLAmec39IyEx_6qawtMGysU/edit?usp=sharing"",""สบก!S62"")"),367000)</f>
        <v>367000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560000</v>
      </c>
      <c r="M53" s="121">
        <f t="shared" ca="1" si="39"/>
        <v>434612.74</v>
      </c>
      <c r="N53" s="121">
        <f t="shared" ca="1" si="39"/>
        <v>291311.55</v>
      </c>
      <c r="O53" s="120">
        <f t="shared" ref="O53:O55" ca="1" si="40">IF(L53&gt;0,N53*100/L53,0)</f>
        <v>52.01991964285714</v>
      </c>
      <c r="P53" s="120">
        <f t="shared" ref="P53:P55" ca="1" si="41">IF(M53&gt;0,N53*100/M53,0)</f>
        <v>67.027844144651624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560000</v>
      </c>
      <c r="M55" s="121">
        <f t="shared" ca="1" si="43"/>
        <v>434612.74</v>
      </c>
      <c r="N55" s="121">
        <f t="shared" ca="1" si="43"/>
        <v>291311.55</v>
      </c>
      <c r="O55" s="120">
        <f t="shared" ca="1" si="40"/>
        <v>52.01991964285714</v>
      </c>
      <c r="P55" s="120">
        <f t="shared" ca="1" si="41"/>
        <v>67.027844144651624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560000</v>
      </c>
      <c r="M57" s="49">
        <f ca="1">IFERROR(__xludf.DUMMYFUNCTION("IMPORTRANGE(""https://docs.google.com/spreadsheets/d/1Yj_ptqi66GCucihVvJfMjLAmec39IyEx_6qawtMGysU/edit?usp=sharing"",""สบก!Z62"")"),434612.74)</f>
        <v>434612.74</v>
      </c>
      <c r="N57" s="49">
        <f ca="1">IFERROR(__xludf.DUMMYFUNCTION("IMPORTRANGE(""https://docs.google.com/spreadsheets/d/1Yj_ptqi66GCucihVvJfMjLAmec39IyEx_6qawtMGysU/edit?usp=sharing"",""สบก!AA62"")"),291311.55)</f>
        <v>291311.55</v>
      </c>
      <c r="O57" s="38">
        <f ca="1">IF(L57&gt;0,N57*100/L57,0)</f>
        <v>52.01991964285714</v>
      </c>
      <c r="P57" s="38">
        <f ca="1">IF(M57&gt;0,N57*100/M57,0)</f>
        <v>67.027844144651624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IFERROR(__xludf.DUMMYFUNCTION("IMPORTRANGE(""https://docs.google.com/spreadsheets/d/1Yj_ptqi66GCucihVvJfMjLAmec39IyEx_6qawtMGysU/edit?usp=sharing"",""สบก!V62"")"),560000)</f>
        <v>560000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IFERROR(__xludf.DUMMYFUNCTION("IMPORTRANGE(""https://docs.google.com/spreadsheets/d/1Yj_ptqi66GCucihVvJfMjLAmec39IyEx_6qawtMGysU/edit?usp=sharing"",""สบก!X62"")"),0)</f>
        <v>0</v>
      </c>
      <c r="M61" s="49"/>
      <c r="N61" s="49">
        <f ca="1">IFERROR(__xludf.DUMMYFUNCTION("IMPORTRANGE(""https://docs.google.com/spreadsheets/d/1Yj_ptqi66GCucihVvJfMjLAmec39IyEx_6qawtMGysU/edit?usp=sharing"",""สบก!AB62"")"),0)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IFERROR(__xludf.DUMMYFUNCTION("IMPORTRANGE(""https://docs.google.com/spreadsheets/d/1SX6NBoVAgQJ6U1MVXOaj8PK2l7WJ3RER9xtqwdhxkhw/edit?usp=sharing"",""ชลบุรี!I9"")"),0)</f>
        <v>0</v>
      </c>
      <c r="J64" s="142">
        <f ca="1">IFERROR(__xludf.DUMMYFUNCTION("IMPORTRANGE(""https://docs.google.com/spreadsheets/d/1SX6NBoVAgQJ6U1MVXOaj8PK2l7WJ3RER9xtqwdhxkhw/edit?usp=sharing"",""ชลบุรี!J9"")"),0)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IFERROR(__xludf.DUMMYFUNCTION("IMPORTRANGE(""https://docs.google.com/spreadsheets/d/1SX6NBoVAgQJ6U1MVXOaj8PK2l7WJ3RER9xtqwdhxkhw/edit?usp=sharing"",""ชลบุรี!I10"")"),0)</f>
        <v>0</v>
      </c>
      <c r="J65" s="142">
        <f ca="1">IFERROR(__xludf.DUMMYFUNCTION("IMPORTRANGE(""https://docs.google.com/spreadsheets/d/1SX6NBoVAgQJ6U1MVXOaj8PK2l7WJ3RER9xtqwdhxkhw/edit?usp=sharing"",""ชลบุรี!J10"")"),0)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IFERROR(__xludf.DUMMYFUNCTION("IMPORTRANGE(""https://docs.google.com/spreadsheets/d/1Yj_ptqi66GCucihVvJfMjLAmec39IyEx_6qawtMGysU/edit?usp=sharing"",""สบก!AI62"")"),0)</f>
        <v>0</v>
      </c>
      <c r="N70" s="169">
        <f ca="1">IFERROR(__xludf.DUMMYFUNCTION("IMPORTRANGE(""https://docs.google.com/spreadsheets/d/1Yj_ptqi66GCucihVvJfMjLAmec39IyEx_6qawtMGysU/edit?usp=sharing"",""สบก!AJ62"")"),0)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IFERROR(__xludf.DUMMYFUNCTION("IMPORTRANGE(""https://docs.google.com/spreadsheets/d/1Yj_ptqi66GCucihVvJfMjLAmec39IyEx_6qawtMGysU/edit?usp=sharing"",""สบก!AE62"")"),0)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IFERROR(__xludf.DUMMYFUNCTION("IMPORTRANGE(""https://docs.google.com/spreadsheets/d/1Yj_ptqi66GCucihVvJfMjLAmec39IyEx_6qawtMGysU/edit?usp=sharing"",""สบก!AF62"")"),0)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IFERROR(__xludf.DUMMYFUNCTION("IMPORTRANGE(""https://docs.google.com/spreadsheets/d/1Yj_ptqi66GCucihVvJfMjLAmec39IyEx_6qawtMGysU/edit?usp=sharing"",""สบก!AG62"")"),0)</f>
        <v>0</v>
      </c>
      <c r="M74" s="49"/>
      <c r="N74" s="49">
        <f ca="1">IFERROR(__xludf.DUMMYFUNCTION("IMPORTRANGE(""https://docs.google.com/spreadsheets/d/1Yj_ptqi66GCucihVvJfMjLAmec39IyEx_6qawtMGysU/edit?usp=sharing"",""สบก!AK62"")"),0)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IFERROR(__xludf.DUMMYFUNCTION("IMPORTRANGE(""https://docs.google.com/spreadsheets/d/1SX6NBoVAgQJ6U1MVXOaj8PK2l7WJ3RER9xtqwdhxkhw/edit?usp=sharing"",""ชลบุรี!J16"")"),0)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IFERROR(__xludf.DUMMYFUNCTION("IMPORTRANGE(""https://docs.google.com/spreadsheets/d/1SX6NBoVAgQJ6U1MVXOaj8PK2l7WJ3RER9xtqwdhxkhw/edit?usp=sharing"",""ชลบุรี!J17"")"),0)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IFERROR(__xludf.DUMMYFUNCTION("IMPORTRANGE(""https://docs.google.com/spreadsheets/d/1SX6NBoVAgQJ6U1MVXOaj8PK2l7WJ3RER9xtqwdhxkhw/edit?usp=sharing"",""ชลบุรี!J18"")"),0)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IFERROR(__xludf.DUMMYFUNCTION("IMPORTRANGE(""https://docs.google.com/spreadsheets/d/1SX6NBoVAgQJ6U1MVXOaj8PK2l7WJ3RER9xtqwdhxkhw/edit?usp=sharing"",""ชลบุรี!J19"")"),0)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IFERROR(__xludf.DUMMYFUNCTION("IMPORTRANGE(""https://docs.google.com/spreadsheets/d/1SX6NBoVAgQJ6U1MVXOaj8PK2l7WJ3RER9xtqwdhxkhw/edit?usp=sharing"",""ชลบุรี!I20"")"),0)</f>
        <v>0</v>
      </c>
      <c r="J80" s="201">
        <f ca="1">IFERROR(__xludf.DUMMYFUNCTION("IMPORTRANGE(""https://docs.google.com/spreadsheets/d/1SX6NBoVAgQJ6U1MVXOaj8PK2l7WJ3RER9xtqwdhxkhw/edit?usp=sharing"",""ชลบุรี!J20"")"),0)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IFERROR(__xludf.DUMMYFUNCTION("IMPORTRANGE(""https://docs.google.com/spreadsheets/d/1SX6NBoVAgQJ6U1MVXOaj8PK2l7WJ3RER9xtqwdhxkhw/edit?usp=sharing"",""ชลบุรี!I21"")"),0)</f>
        <v>0</v>
      </c>
      <c r="J81" s="201">
        <f ca="1">IFERROR(__xludf.DUMMYFUNCTION("IMPORTRANGE(""https://docs.google.com/spreadsheets/d/1SX6NBoVAgQJ6U1MVXOaj8PK2l7WJ3RER9xtqwdhxkhw/edit?usp=sharing"",""ชลบุรี!J21"")"),0)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IFERROR(__xludf.DUMMYFUNCTION("IMPORTRANGE(""https://docs.google.com/spreadsheets/d/1SX6NBoVAgQJ6U1MVXOaj8PK2l7WJ3RER9xtqwdhxkhw/edit?usp=sharing"",""ชลบุรี!I22"")"),0)</f>
        <v>0</v>
      </c>
      <c r="J82" s="204">
        <f ca="1">IFERROR(__xludf.DUMMYFUNCTION("IMPORTRANGE(""https://docs.google.com/spreadsheets/d/1SX6NBoVAgQJ6U1MVXOaj8PK2l7WJ3RER9xtqwdhxkhw/edit?usp=sharing"",""ชลบุรี!J22"")"),0)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IFERROR(__xludf.DUMMYFUNCTION("IMPORTRANGE(""https://docs.google.com/spreadsheets/d/1SX6NBoVAgQJ6U1MVXOaj8PK2l7WJ3RER9xtqwdhxkhw/edit?usp=sharing"",""ชลบุรี!I23"")"),0)</f>
        <v>0</v>
      </c>
      <c r="J83" s="204">
        <f ca="1">IFERROR(__xludf.DUMMYFUNCTION("IMPORTRANGE(""https://docs.google.com/spreadsheets/d/1SX6NBoVAgQJ6U1MVXOaj8PK2l7WJ3RER9xtqwdhxkhw/edit?usp=sharing"",""ชลบุรี!J23"")"),0)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IFERROR(__xludf.DUMMYFUNCTION("IMPORTRANGE(""https://docs.google.com/spreadsheets/d/1SX6NBoVAgQJ6U1MVXOaj8PK2l7WJ3RER9xtqwdhxkhw/edit?usp=sharing"",""ชลบุรี!I24"")"),0)</f>
        <v>0</v>
      </c>
      <c r="J84" s="189">
        <f ca="1">IFERROR(__xludf.DUMMYFUNCTION("IMPORTRANGE(""https://docs.google.com/spreadsheets/d/1SX6NBoVAgQJ6U1MVXOaj8PK2l7WJ3RER9xtqwdhxkhw/edit?usp=sharing"",""ชลบุรี!J24"")"),0)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IFERROR(__xludf.DUMMYFUNCTION("IMPORTRANGE(""https://docs.google.com/spreadsheets/d/1SX6NBoVAgQJ6U1MVXOaj8PK2l7WJ3RER9xtqwdhxkhw/edit?usp=sharing"",""ชลบุรี!I25"")"),0)</f>
        <v>0</v>
      </c>
      <c r="J85" s="189">
        <f ca="1">IFERROR(__xludf.DUMMYFUNCTION("IMPORTRANGE(""https://docs.google.com/spreadsheets/d/1SX6NBoVAgQJ6U1MVXOaj8PK2l7WJ3RER9xtqwdhxkhw/edit?usp=sharing"",""ชลบุรี!J25"")"),0)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IFERROR(__xludf.DUMMYFUNCTION("IMPORTRANGE(""https://docs.google.com/spreadsheets/d/1SX6NBoVAgQJ6U1MVXOaj8PK2l7WJ3RER9xtqwdhxkhw/edit?usp=sharing"",""ชลบุรี!I26"")"),0)</f>
        <v>0</v>
      </c>
      <c r="J86" s="204">
        <f ca="1">IFERROR(__xludf.DUMMYFUNCTION("IMPORTRANGE(""https://docs.google.com/spreadsheets/d/1SX6NBoVAgQJ6U1MVXOaj8PK2l7WJ3RER9xtqwdhxkhw/edit?usp=sharing"",""ชลบุรี!J26"")"),0)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IFERROR(__xludf.DUMMYFUNCTION("IMPORTRANGE(""https://docs.google.com/spreadsheets/d/1SX6NBoVAgQJ6U1MVXOaj8PK2l7WJ3RER9xtqwdhxkhw/edit?usp=sharing"",""ชลบุรี!I27"")"),0)</f>
        <v>0</v>
      </c>
      <c r="J87" s="204">
        <f ca="1">IFERROR(__xludf.DUMMYFUNCTION("IMPORTRANGE(""https://docs.google.com/spreadsheets/d/1SX6NBoVAgQJ6U1MVXOaj8PK2l7WJ3RER9xtqwdhxkhw/edit?usp=sharing"",""ชลบุรี!J27"")"),0)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IFERROR(__xludf.DUMMYFUNCTION("IMPORTRANGE(""https://docs.google.com/spreadsheets/d/1SX6NBoVAgQJ6U1MVXOaj8PK2l7WJ3RER9xtqwdhxkhw/edit?usp=sharing"",""ชลบุรี!I28"")"),0)</f>
        <v>0</v>
      </c>
      <c r="J88" s="204">
        <f ca="1">IFERROR(__xludf.DUMMYFUNCTION("IMPORTRANGE(""https://docs.google.com/spreadsheets/d/1SX6NBoVAgQJ6U1MVXOaj8PK2l7WJ3RER9xtqwdhxkhw/edit?usp=sharing"",""ชลบุรี!J28"")"),0)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IFERROR(__xludf.DUMMYFUNCTION("IMPORTRANGE(""https://docs.google.com/spreadsheets/d/1SX6NBoVAgQJ6U1MVXOaj8PK2l7WJ3RER9xtqwdhxkhw/edit?usp=sharing"",""ชลบุรี!J29"")"),0)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IFERROR(__xludf.DUMMYFUNCTION("IMPORTRANGE(""https://docs.google.com/spreadsheets/d/1SX6NBoVAgQJ6U1MVXOaj8PK2l7WJ3RER9xtqwdhxkhw/edit?usp=sharing"",""ชลบุรี!J30"")"),0)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IFERROR(__xludf.DUMMYFUNCTION("IMPORTRANGE(""https://docs.google.com/spreadsheets/d/1SX6NBoVAgQJ6U1MVXOaj8PK2l7WJ3RER9xtqwdhxkhw/edit?usp=sharing"",""ชลบุรี!I32"")"),4)</f>
        <v>4</v>
      </c>
      <c r="J92" s="142">
        <f ca="1">IFERROR(__xludf.DUMMYFUNCTION("IMPORTRANGE(""https://docs.google.com/spreadsheets/d/1SX6NBoVAgQJ6U1MVXOaj8PK2l7WJ3RER9xtqwdhxkhw/edit?usp=sharing"",""ชลบุรี!J32"")"),0)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IFERROR(__xludf.DUMMYFUNCTION("IMPORTRANGE(""https://docs.google.com/spreadsheets/d/1SX6NBoVAgQJ6U1MVXOaj8PK2l7WJ3RER9xtqwdhxkhw/edit?usp=sharing"",""ชลบุรี!I33"")"),1)</f>
        <v>1</v>
      </c>
      <c r="J93" s="142">
        <f ca="1">IFERROR(__xludf.DUMMYFUNCTION("IMPORTRANGE(""https://docs.google.com/spreadsheets/d/1SX6NBoVAgQJ6U1MVXOaj8PK2l7WJ3RER9xtqwdhxkhw/edit?usp=sharing"",""ชลบุรี!J33"")"),1)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146989</v>
      </c>
      <c r="O94" s="151">
        <f t="shared" ref="O94:O96" ca="1" si="53">IF(L94&gt;0,N94*100/L94,0)</f>
        <v>68.526340326340332</v>
      </c>
      <c r="P94" s="151">
        <f t="shared" ref="P94:P96" ca="1" si="54">IF(M94&gt;0,N94*100/M94,0)</f>
        <v>68.526340326340332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146989</v>
      </c>
      <c r="O96" s="156">
        <f t="shared" ca="1" si="53"/>
        <v>68.526340326340332</v>
      </c>
      <c r="P96" s="156">
        <f t="shared" ca="1" si="54"/>
        <v>68.526340326340332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IFERROR(__xludf.DUMMYFUNCTION("IMPORTRANGE(""https://docs.google.com/spreadsheets/d/1Yj_ptqi66GCucihVvJfMjLAmec39IyEx_6qawtMGysU/edit?usp=sharing"",""สบก!AR62"")"),122100)</f>
        <v>122100</v>
      </c>
      <c r="N98" s="169">
        <f ca="1">IFERROR(__xludf.DUMMYFUNCTION("IMPORTRANGE(""https://docs.google.com/spreadsheets/d/1Yj_ptqi66GCucihVvJfMjLAmec39IyEx_6qawtMGysU/edit?usp=sharing"",""สบก!AS62"")"),54589)</f>
        <v>54589</v>
      </c>
      <c r="O98" s="169">
        <f ca="1">IF(L98&gt;0,N98*100/L98,0)</f>
        <v>44.708435708435708</v>
      </c>
      <c r="P98" s="169">
        <f ca="1">IF(M98&gt;0,N98*100/M98,0)</f>
        <v>44.708435708435708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IFERROR(__xludf.DUMMYFUNCTION("IMPORTRANGE(""https://docs.google.com/spreadsheets/d/1Yj_ptqi66GCucihVvJfMjLAmec39IyEx_6qawtMGysU/edit?usp=sharing"",""สบก!AN62"")"),0)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IFERROR(__xludf.DUMMYFUNCTION("IMPORTRANGE(""https://docs.google.com/spreadsheets/d/1Yj_ptqi66GCucihVvJfMjLAmec39IyEx_6qawtMGysU/edit?usp=sharing"",""สบก!AO62"")"),122100)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IFERROR(__xludf.DUMMYFUNCTION("IMPORTRANGE(""https://docs.google.com/spreadsheets/d/1Yj_ptqi66GCucihVvJfMjLAmec39IyEx_6qawtMGysU/edit?usp=sharing"",""สบก!AT62"")"),92400)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IFERROR(__xludf.DUMMYFUNCTION("IMPORTRANGE(""https://docs.google.com/spreadsheets/d/1SX6NBoVAgQJ6U1MVXOaj8PK2l7WJ3RER9xtqwdhxkhw/edit?usp=sharing"",""ชลบุรี!J39"")"),0)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IFERROR(__xludf.DUMMYFUNCTION("IMPORTRANGE(""https://docs.google.com/spreadsheets/d/1SX6NBoVAgQJ6U1MVXOaj8PK2l7WJ3RER9xtqwdhxkhw/edit?usp=sharing"",""ชลบุรี!J40"")"),1)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IFERROR(__xludf.DUMMYFUNCTION("IMPORTRANGE(""https://docs.google.com/spreadsheets/d/1SX6NBoVAgQJ6U1MVXOaj8PK2l7WJ3RER9xtqwdhxkhw/edit?usp=sharing"",""ชลบุรี!J41"")"),1)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IFERROR(__xludf.DUMMYFUNCTION("IMPORTRANGE(""https://docs.google.com/spreadsheets/d/1SX6NBoVAgQJ6U1MVXOaj8PK2l7WJ3RER9xtqwdhxkhw/edit?usp=sharing"",""ชลบุรี!J42"")"),0)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IFERROR(__xludf.DUMMYFUNCTION("IMPORTRANGE(""https://docs.google.com/spreadsheets/d/1SX6NBoVAgQJ6U1MVXOaj8PK2l7WJ3RER9xtqwdhxkhw/edit?usp=sharing"",""ชลบุรี!I43"")"),1)</f>
        <v>1</v>
      </c>
      <c r="J108" s="204">
        <f ca="1">IFERROR(__xludf.DUMMYFUNCTION("IMPORTRANGE(""https://docs.google.com/spreadsheets/d/1SX6NBoVAgQJ6U1MVXOaj8PK2l7WJ3RER9xtqwdhxkhw/edit?usp=sharing"",""ชลบุรี!J43"")"),0)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IFERROR(__xludf.DUMMYFUNCTION("IMPORTRANGE(""https://docs.google.com/spreadsheets/d/1SX6NBoVAgQJ6U1MVXOaj8PK2l7WJ3RER9xtqwdhxkhw/edit?usp=sharing"",""ชลบุรี!I44"")"),4)</f>
        <v>4</v>
      </c>
      <c r="J109" s="204">
        <f ca="1">IFERROR(__xludf.DUMMYFUNCTION("IMPORTRANGE(""https://docs.google.com/spreadsheets/d/1SX6NBoVAgQJ6U1MVXOaj8PK2l7WJ3RER9xtqwdhxkhw/edit?usp=sharing"",""ชลบุรี!J44"")"),0)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IFERROR(__xludf.DUMMYFUNCTION("IMPORTRANGE(""https://docs.google.com/spreadsheets/d/1SX6NBoVAgQJ6U1MVXOaj8PK2l7WJ3RER9xtqwdhxkhw/edit?usp=sharing"",""ชลบุรี!I45"")"),4)</f>
        <v>4</v>
      </c>
      <c r="J110" s="204">
        <f ca="1">IFERROR(__xludf.DUMMYFUNCTION("IMPORTRANGE(""https://docs.google.com/spreadsheets/d/1SX6NBoVAgQJ6U1MVXOaj8PK2l7WJ3RER9xtqwdhxkhw/edit?usp=sharing"",""ชลบุรี!J45"")"),4)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IFERROR(__xludf.DUMMYFUNCTION("IMPORTRANGE(""https://docs.google.com/spreadsheets/d/1SX6NBoVAgQJ6U1MVXOaj8PK2l7WJ3RER9xtqwdhxkhw/edit?usp=sharing"",""ชลบุรี!I46"")"),4)</f>
        <v>4</v>
      </c>
      <c r="J111" s="204">
        <f ca="1">IFERROR(__xludf.DUMMYFUNCTION("IMPORTRANGE(""https://docs.google.com/spreadsheets/d/1SX6NBoVAgQJ6U1MVXOaj8PK2l7WJ3RER9xtqwdhxkhw/edit?usp=sharing"",""ชลบุรี!J46"")"),4)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IFERROR(__xludf.DUMMYFUNCTION("IMPORTRANGE(""https://docs.google.com/spreadsheets/d/1SX6NBoVAgQJ6U1MVXOaj8PK2l7WJ3RER9xtqwdhxkhw/edit?usp=sharing"",""ชลบุรี!I47"")"),4)</f>
        <v>4</v>
      </c>
      <c r="J112" s="204">
        <f ca="1">IFERROR(__xludf.DUMMYFUNCTION("IMPORTRANGE(""https://docs.google.com/spreadsheets/d/1SX6NBoVAgQJ6U1MVXOaj8PK2l7WJ3RER9xtqwdhxkhw/edit?usp=sharing"",""ชลบุรี!J47"")"),4)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IFERROR(__xludf.DUMMYFUNCTION("IMPORTRANGE(""https://docs.google.com/spreadsheets/d/1SX6NBoVAgQJ6U1MVXOaj8PK2l7WJ3RER9xtqwdhxkhw/edit?usp=sharing"",""ชลบุรี!I48"")"),1)</f>
        <v>1</v>
      </c>
      <c r="J113" s="204">
        <f ca="1">IFERROR(__xludf.DUMMYFUNCTION("IMPORTRANGE(""https://docs.google.com/spreadsheets/d/1SX6NBoVAgQJ6U1MVXOaj8PK2l7WJ3RER9xtqwdhxkhw/edit?usp=sharing"",""ชลบุรี!J48"")"),1)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IFERROR(__xludf.DUMMYFUNCTION("IMPORTRANGE(""https://docs.google.com/spreadsheets/d/1SX6NBoVAgQJ6U1MVXOaj8PK2l7WJ3RER9xtqwdhxkhw/edit?usp=sharing"",""ชลบุรี!J49"")"),0)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IFERROR(__xludf.DUMMYFUNCTION("IMPORTRANGE(""https://docs.google.com/spreadsheets/d/1SX6NBoVAgQJ6U1MVXOaj8PK2l7WJ3RER9xtqwdhxkhw/edit?usp=sharing"",""ชลบุรี!J50"")"),0)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IFERROR(__xludf.DUMMYFUNCTION("IMPORTRANGE(""https://docs.google.com/spreadsheets/d/1SX6NBoVAgQJ6U1MVXOaj8PK2l7WJ3RER9xtqwdhxkhw/edit?usp=sharing"",""ชลบุรี!I52"")"),20)</f>
        <v>20</v>
      </c>
      <c r="J117" s="142">
        <f ca="1">IFERROR(__xludf.DUMMYFUNCTION("IMPORTRANGE(""https://docs.google.com/spreadsheets/d/1SX6NBoVAgQJ6U1MVXOaj8PK2l7WJ3RER9xtqwdhxkhw/edit?usp=sharing"",""ชลบุรี!J52"")"),20)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29134</v>
      </c>
      <c r="O118" s="151">
        <f t="shared" ref="O118:O120" ca="1" si="59">IF(L118&gt;0,N118*100/L118,0)</f>
        <v>35.339640950994664</v>
      </c>
      <c r="P118" s="151">
        <f t="shared" ref="P118:P120" ca="1" si="60">IF(M118&gt;0,N118*100/M118,0)</f>
        <v>35.339640950994664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29134</v>
      </c>
      <c r="O120" s="156">
        <f t="shared" ca="1" si="59"/>
        <v>35.339640950994664</v>
      </c>
      <c r="P120" s="156">
        <f t="shared" ca="1" si="60"/>
        <v>35.339640950994664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IFERROR(__xludf.DUMMYFUNCTION("IMPORTRANGE(""https://docs.google.com/spreadsheets/d/1Yj_ptqi66GCucihVvJfMjLAmec39IyEx_6qawtMGysU/edit?usp=sharing"",""สบก!BA62"")"),82440)</f>
        <v>82440</v>
      </c>
      <c r="N122" s="169">
        <f ca="1">IFERROR(__xludf.DUMMYFUNCTION("IMPORTRANGE(""https://docs.google.com/spreadsheets/d/1Yj_ptqi66GCucihVvJfMjLAmec39IyEx_6qawtMGysU/edit?usp=sharing"",""สบก!BB62"")"),29134)</f>
        <v>29134</v>
      </c>
      <c r="O122" s="169">
        <f ca="1">IF(L122&gt;0,N122*100/L122,0)</f>
        <v>35.339640950994664</v>
      </c>
      <c r="P122" s="169">
        <f ca="1">IF(M122&gt;0,N122*100/M122,0)</f>
        <v>35.339640950994664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IFERROR(__xludf.DUMMYFUNCTION("IMPORTRANGE(""https://docs.google.com/spreadsheets/d/1Yj_ptqi66GCucihVvJfMjLAmec39IyEx_6qawtMGysU/edit?usp=sharing"",""สบก!AW62"")"),0)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IFERROR(__xludf.DUMMYFUNCTION("IMPORTRANGE(""https://docs.google.com/spreadsheets/d/1Yj_ptqi66GCucihVvJfMjLAmec39IyEx_6qawtMGysU/edit?usp=sharing"",""สบก!AX62"")"),82440)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IFERROR(__xludf.DUMMYFUNCTION("IMPORTRANGE(""https://docs.google.com/spreadsheets/d/1Yj_ptqi66GCucihVvJfMjLAmec39IyEx_6qawtMGysU/edit?usp=sharing"",""สบก!AY62"")"),0)</f>
        <v>0</v>
      </c>
      <c r="M126" s="49"/>
      <c r="N126" s="49">
        <f ca="1">IFERROR(__xludf.DUMMYFUNCTION("IMPORTRANGE(""https://docs.google.com/spreadsheets/d/1Yj_ptqi66GCucihVvJfMjLAmec39IyEx_6qawtMGysU/edit?usp=sharing"",""สบก!BC62"")"),0)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245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IFERROR(__xludf.DUMMYFUNCTION("IMPORTRANGE(""https://docs.google.com/spreadsheets/d/1SX6NBoVAgQJ6U1MVXOaj8PK2l7WJ3RER9xtqwdhxkhw/edit?usp=sharing"",""ชลบุรี!J58"")"),0)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IFERROR(__xludf.DUMMYFUNCTION("IMPORTRANGE(""https://docs.google.com/spreadsheets/d/1SX6NBoVAgQJ6U1MVXOaj8PK2l7WJ3RER9xtqwdhxkhw/edit?usp=sharing"",""ชลบุรี!J59"")"),1)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IFERROR(__xludf.DUMMYFUNCTION("IMPORTRANGE(""https://docs.google.com/spreadsheets/d/1SX6NBoVAgQJ6U1MVXOaj8PK2l7WJ3RER9xtqwdhxkhw/edit?usp=sharing"",""ชลบุรี!J60"")"),1)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IFERROR(__xludf.DUMMYFUNCTION("IMPORTRANGE(""https://docs.google.com/spreadsheets/d/1SX6NBoVAgQJ6U1MVXOaj8PK2l7WJ3RER9xtqwdhxkhw/edit?usp=sharing"",""ชลบุรี!J61"")"),0)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IFERROR(__xludf.DUMMYFUNCTION("IMPORTRANGE(""https://docs.google.com/spreadsheets/d/1SX6NBoVAgQJ6U1MVXOaj8PK2l7WJ3RER9xtqwdhxkhw/edit?usp=sharing"",""ชลบุรี!I62"")"),20)</f>
        <v>20</v>
      </c>
      <c r="J132" s="204">
        <f ca="1">IFERROR(__xludf.DUMMYFUNCTION("IMPORTRANGE(""https://docs.google.com/spreadsheets/d/1SX6NBoVAgQJ6U1MVXOaj8PK2l7WJ3RER9xtqwdhxkhw/edit?usp=sharing"",""ชลบุรี!J62"")"),20)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IFERROR(__xludf.DUMMYFUNCTION("IMPORTRANGE(""https://docs.google.com/spreadsheets/d/1SX6NBoVAgQJ6U1MVXOaj8PK2l7WJ3RER9xtqwdhxkhw/edit?usp=sharing"",""ชลบุรี!I63"")"),20)</f>
        <v>20</v>
      </c>
      <c r="J133" s="204">
        <f ca="1">IFERROR(__xludf.DUMMYFUNCTION("IMPORTRANGE(""https://docs.google.com/spreadsheets/d/1SX6NBoVAgQJ6U1MVXOaj8PK2l7WJ3RER9xtqwdhxkhw/edit?usp=sharing"",""ชลบุรี!J63"")"),0)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IFERROR(__xludf.DUMMYFUNCTION("IMPORTRANGE(""https://docs.google.com/spreadsheets/d/1SX6NBoVAgQJ6U1MVXOaj8PK2l7WJ3RER9xtqwdhxkhw/edit?usp=sharing"",""ชลบุรี!J64"")"),0)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IFERROR(__xludf.DUMMYFUNCTION("IMPORTRANGE(""https://docs.google.com/spreadsheets/d/1SX6NBoVAgQJ6U1MVXOaj8PK2l7WJ3RER9xtqwdhxkhw/edit?usp=sharing"",""ชลบุรี!J65"")"),0)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IFERROR(__xludf.DUMMYFUNCTION("IMPORTRANGE(""https://docs.google.com/spreadsheets/d/1SX6NBoVAgQJ6U1MVXOaj8PK2l7WJ3RER9xtqwdhxkhw/edit?usp=sharing"",""ชลบุรี!I68"")"),55)</f>
        <v>55</v>
      </c>
      <c r="J138" s="267">
        <f ca="1">IFERROR(__xludf.DUMMYFUNCTION("IMPORTRANGE(""https://docs.google.com/spreadsheets/d/1SX6NBoVAgQJ6U1MVXOaj8PK2l7WJ3RER9xtqwdhxkhw/edit?usp=sharing"",""ชลบุรี!J68"")"),55)</f>
        <v>55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323600</v>
      </c>
      <c r="M140" s="152">
        <f t="shared" ca="1" si="64"/>
        <v>275825</v>
      </c>
      <c r="N140" s="152">
        <f t="shared" ca="1" si="64"/>
        <v>140578.48000000001</v>
      </c>
      <c r="O140" s="151">
        <f t="shared" ref="O140:O142" ca="1" si="65">IF(L140&gt;0,N140*100/L140,0)</f>
        <v>43.442051915945619</v>
      </c>
      <c r="P140" s="151">
        <f t="shared" ref="P140:P142" ca="1" si="66">IF(M140&gt;0,N140*100/M140,0)</f>
        <v>50.966547629837763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323600</v>
      </c>
      <c r="M142" s="157">
        <f t="shared" ca="1" si="68"/>
        <v>275825</v>
      </c>
      <c r="N142" s="157">
        <f t="shared" ca="1" si="68"/>
        <v>140578.48000000001</v>
      </c>
      <c r="O142" s="156">
        <f t="shared" ca="1" si="65"/>
        <v>43.442051915945619</v>
      </c>
      <c r="P142" s="156">
        <f t="shared" ca="1" si="66"/>
        <v>50.966547629837763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323600</v>
      </c>
      <c r="M144" s="168">
        <f ca="1">IFERROR(__xludf.DUMMYFUNCTION("IMPORTRANGE(""https://docs.google.com/spreadsheets/d/1Yj_ptqi66GCucihVvJfMjLAmec39IyEx_6qawtMGysU/edit?usp=sharing"",""สบก!BJ62"")"),275825)</f>
        <v>275825</v>
      </c>
      <c r="N144" s="169">
        <f ca="1">IFERROR(__xludf.DUMMYFUNCTION("IMPORTRANGE(""https://docs.google.com/spreadsheets/d/1Yj_ptqi66GCucihVvJfMjLAmec39IyEx_6qawtMGysU/edit?usp=sharing"",""สบก!BK62"")"),140578.48)</f>
        <v>140578.48000000001</v>
      </c>
      <c r="O144" s="169">
        <f ca="1">IF(L144&gt;0,N144*100/L144,0)</f>
        <v>43.442051915945619</v>
      </c>
      <c r="P144" s="169">
        <f ca="1">IF(M144&gt;0,N144*100/M144,0)</f>
        <v>50.966547629837763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IFERROR(__xludf.DUMMYFUNCTION("IMPORTRANGE(""https://docs.google.com/spreadsheets/d/1Yj_ptqi66GCucihVvJfMjLAmec39IyEx_6qawtMGysU/edit?usp=sharing"",""สบก!BF62"")"),132000)</f>
        <v>132000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IFERROR(__xludf.DUMMYFUNCTION("IMPORTRANGE(""https://docs.google.com/spreadsheets/d/1Yj_ptqi66GCucihVvJfMjLAmec39IyEx_6qawtMGysU/edit?usp=sharing"",""สบก!BG62"")"),191600)</f>
        <v>191600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IFERROR(__xludf.DUMMYFUNCTION("IMPORTRANGE(""https://docs.google.com/spreadsheets/d/1Yj_ptqi66GCucihVvJfMjLAmec39IyEx_6qawtMGysU/edit?usp=sharing"",""สบก!BH62"")"),0)</f>
        <v>0</v>
      </c>
      <c r="M148" s="49"/>
      <c r="N148" s="49">
        <f ca="1">IFERROR(__xludf.DUMMYFUNCTION("IMPORTRANGE(""https://docs.google.com/spreadsheets/d/1Yj_ptqi66GCucihVvJfMjLAmec39IyEx_6qawtMGysU/edit?usp=sharing"",""สบก!BL62"")"),0)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IFERROR(__xludf.DUMMYFUNCTION("IMPORTRANGE(""https://docs.google.com/spreadsheets/d/1SX6NBoVAgQJ6U1MVXOaj8PK2l7WJ3RER9xtqwdhxkhw/edit?usp=sharing"",""ชลบุรี!I74"")"),4)</f>
        <v>4</v>
      </c>
      <c r="J149" s="275">
        <f ca="1">IFERROR(__xludf.DUMMYFUNCTION("IMPORTRANGE(""https://docs.google.com/spreadsheets/d/1SX6NBoVAgQJ6U1MVXOaj8PK2l7WJ3RER9xtqwdhxkhw/edit?usp=sharing"",""ชลบุรี!J74"")"),2)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IFERROR(__xludf.DUMMYFUNCTION("IMPORTRANGE(""https://docs.google.com/spreadsheets/d/1SX6NBoVAgQJ6U1MVXOaj8PK2l7WJ3RER9xtqwdhxkhw/edit?usp=sharing"",""ชลบุรี!J79"")"),0)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IFERROR(__xludf.DUMMYFUNCTION("IMPORTRANGE(""https://docs.google.com/spreadsheets/d/1SX6NBoVAgQJ6U1MVXOaj8PK2l7WJ3RER9xtqwdhxkhw/edit?usp=sharing"",""ชลบุรี!J80"")"),1)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IFERROR(__xludf.DUMMYFUNCTION("IMPORTRANGE(""https://docs.google.com/spreadsheets/d/1SX6NBoVAgQJ6U1MVXOaj8PK2l7WJ3RER9xtqwdhxkhw/edit?usp=sharing"",""ชลบุรี!J81"")"),1)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IFERROR(__xludf.DUMMYFUNCTION("IMPORTRANGE(""https://docs.google.com/spreadsheets/d/1SX6NBoVAgQJ6U1MVXOaj8PK2l7WJ3RER9xtqwdhxkhw/edit?usp=sharing"",""ชลบุรี!J82"")"),0)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IFERROR(__xludf.DUMMYFUNCTION("IMPORTRANGE(""https://docs.google.com/spreadsheets/d/1SX6NBoVAgQJ6U1MVXOaj8PK2l7WJ3RER9xtqwdhxkhw/edit?usp=sharing"",""ชลบุรี!I83"")"),4)</f>
        <v>4</v>
      </c>
      <c r="J158" s="189">
        <f ca="1">IFERROR(__xludf.DUMMYFUNCTION("IMPORTRANGE(""https://docs.google.com/spreadsheets/d/1SX6NBoVAgQJ6U1MVXOaj8PK2l7WJ3RER9xtqwdhxkhw/edit?usp=sharing"",""ชลบุรี!J83"")"),2)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IFERROR(__xludf.DUMMYFUNCTION("IMPORTRANGE(""https://docs.google.com/spreadsheets/d/1SX6NBoVAgQJ6U1MVXOaj8PK2l7WJ3RER9xtqwdhxkhw/edit?usp=sharing"",""ชลบุรี!J84"")"),0)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IFERROR(__xludf.DUMMYFUNCTION("IMPORTRANGE(""https://docs.google.com/spreadsheets/d/1SX6NBoVAgQJ6U1MVXOaj8PK2l7WJ3RER9xtqwdhxkhw/edit?usp=sharing"",""ชลบุรี!J85"")"),0)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IFERROR(__xludf.DUMMYFUNCTION("IMPORTRANGE(""https://docs.google.com/spreadsheets/d/1SX6NBoVAgQJ6U1MVXOaj8PK2l7WJ3RER9xtqwdhxkhw/edit?usp=sharing"",""ชลบุรี!J86"")"),0)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IFERROR(__xludf.DUMMYFUNCTION("IMPORTRANGE(""https://docs.google.com/spreadsheets/d/1SX6NBoVAgQJ6U1MVXOaj8PK2l7WJ3RER9xtqwdhxkhw/edit?usp=sharing"",""ชลบุรี!J87"")"),0)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IFERROR(__xludf.DUMMYFUNCTION("IMPORTRANGE(""https://docs.google.com/spreadsheets/d/1SX6NBoVAgQJ6U1MVXOaj8PK2l7WJ3RER9xtqwdhxkhw/edit?usp=sharing"",""ชลบุรี!J88"")"),0)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IFERROR(__xludf.DUMMYFUNCTION("IMPORTRANGE(""https://docs.google.com/spreadsheets/d/1SX6NBoVAgQJ6U1MVXOaj8PK2l7WJ3RER9xtqwdhxkhw/edit?usp=sharing"",""ชลบุรี!I89"")"),4)</f>
        <v>4</v>
      </c>
      <c r="J164" s="284">
        <f ca="1">IFERROR(__xludf.DUMMYFUNCTION("IMPORTRANGE(""https://docs.google.com/spreadsheets/d/1SX6NBoVAgQJ6U1MVXOaj8PK2l7WJ3RER9xtqwdhxkhw/edit?usp=sharing"",""ชลบุรี!J89"")"),1)</f>
        <v>1</v>
      </c>
      <c r="K164" s="285">
        <f ca="1">IF(I164&gt;0,J164*100/I164,0)</f>
        <v>25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IFERROR(__xludf.DUMMYFUNCTION("IMPORTRANGE(""https://docs.google.com/spreadsheets/d/1SX6NBoVAgQJ6U1MVXOaj8PK2l7WJ3RER9xtqwdhxkhw/edit?usp=sharing"",""ชลบุรี!J94"")"),0)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IFERROR(__xludf.DUMMYFUNCTION("IMPORTRANGE(""https://docs.google.com/spreadsheets/d/1SX6NBoVAgQJ6U1MVXOaj8PK2l7WJ3RER9xtqwdhxkhw/edit?usp=sharing"",""ชลบุรี!J95"")"),1)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IFERROR(__xludf.DUMMYFUNCTION("IMPORTRANGE(""https://docs.google.com/spreadsheets/d/1SX6NBoVAgQJ6U1MVXOaj8PK2l7WJ3RER9xtqwdhxkhw/edit?usp=sharing"",""ชลบุรี!J96"")"),1)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IFERROR(__xludf.DUMMYFUNCTION("IMPORTRANGE(""https://docs.google.com/spreadsheets/d/1SX6NBoVAgQJ6U1MVXOaj8PK2l7WJ3RER9xtqwdhxkhw/edit?usp=sharing"",""ชลบุรี!J97"")"),0)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IFERROR(__xludf.DUMMYFUNCTION("IMPORTRANGE(""https://docs.google.com/spreadsheets/d/1SX6NBoVAgQJ6U1MVXOaj8PK2l7WJ3RER9xtqwdhxkhw/edit?usp=sharing"",""ชลบุรี!I98"")"),4)</f>
        <v>4</v>
      </c>
      <c r="J173" s="189">
        <f ca="1">IFERROR(__xludf.DUMMYFUNCTION("IMPORTRANGE(""https://docs.google.com/spreadsheets/d/1SX6NBoVAgQJ6U1MVXOaj8PK2l7WJ3RER9xtqwdhxkhw/edit?usp=sharing"",""ชลบุรี!J98"")"),1)</f>
        <v>1</v>
      </c>
      <c r="K173" s="163">
        <f ca="1">IF(I173&gt;0,J173*100/I173,0)</f>
        <v>25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IFERROR(__xludf.DUMMYFUNCTION("IMPORTRANGE(""https://docs.google.com/spreadsheets/d/1SX6NBoVAgQJ6U1MVXOaj8PK2l7WJ3RER9xtqwdhxkhw/edit?usp=sharing"",""ชลบุรี!J99"")"),0)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IFERROR(__xludf.DUMMYFUNCTION("IMPORTRANGE(""https://docs.google.com/spreadsheets/d/1SX6NBoVAgQJ6U1MVXOaj8PK2l7WJ3RER9xtqwdhxkhw/edit?usp=sharing"",""ชลบุรี!J100"")"),0)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IFERROR(__xludf.DUMMYFUNCTION("IMPORTRANGE(""https://docs.google.com/spreadsheets/d/1SX6NBoVAgQJ6U1MVXOaj8PK2l7WJ3RER9xtqwdhxkhw/edit?usp=sharing"",""ชลบุรี!I101"")"),0)</f>
        <v>0</v>
      </c>
      <c r="J176" s="284">
        <f ca="1">IFERROR(__xludf.DUMMYFUNCTION("IMPORTRANGE(""https://docs.google.com/spreadsheets/d/1SX6NBoVAgQJ6U1MVXOaj8PK2l7WJ3RER9xtqwdhxkhw/edit?usp=sharing"",""ชลบุรี!J101"")"),0)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IFERROR(__xludf.DUMMYFUNCTION("IMPORTRANGE(""https://docs.google.com/spreadsheets/d/1SX6NBoVAgQJ6U1MVXOaj8PK2l7WJ3RER9xtqwdhxkhw/edit?usp=sharing"",""ชลบุรี!J106"")"),0)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IFERROR(__xludf.DUMMYFUNCTION("IMPORTRANGE(""https://docs.google.com/spreadsheets/d/1SX6NBoVAgQJ6U1MVXOaj8PK2l7WJ3RER9xtqwdhxkhw/edit?usp=sharing"",""ชลบุรี!J107"")"),0)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IFERROR(__xludf.DUMMYFUNCTION("IMPORTRANGE(""https://docs.google.com/spreadsheets/d/1SX6NBoVAgQJ6U1MVXOaj8PK2l7WJ3RER9xtqwdhxkhw/edit?usp=sharing"",""ชลบุรี!J108"")"),0)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IFERROR(__xludf.DUMMYFUNCTION("IMPORTRANGE(""https://docs.google.com/spreadsheets/d/1SX6NBoVAgQJ6U1MVXOaj8PK2l7WJ3RER9xtqwdhxkhw/edit?usp=sharing"",""ชลบุรี!J109"")"),0)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IFERROR(__xludf.DUMMYFUNCTION("IMPORTRANGE(""https://docs.google.com/spreadsheets/d/1SX6NBoVAgQJ6U1MVXOaj8PK2l7WJ3RER9xtqwdhxkhw/edit?usp=sharing"",""ชลบุรี!I110"")"),0)</f>
        <v>0</v>
      </c>
      <c r="J185" s="204">
        <f ca="1">IFERROR(__xludf.DUMMYFUNCTION("IMPORTRANGE(""https://docs.google.com/spreadsheets/d/1SX6NBoVAgQJ6U1MVXOaj8PK2l7WJ3RER9xtqwdhxkhw/edit?usp=sharing"",""ชลบุรี!J110"")"),0)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IFERROR(__xludf.DUMMYFUNCTION("IMPORTRANGE(""https://docs.google.com/spreadsheets/d/1SX6NBoVAgQJ6U1MVXOaj8PK2l7WJ3RER9xtqwdhxkhw/edit?usp=sharing"",""ชลบุรี!I111"")"),0)</f>
        <v>0</v>
      </c>
      <c r="J186" s="204">
        <f ca="1">IFERROR(__xludf.DUMMYFUNCTION("IMPORTRANGE(""https://docs.google.com/spreadsheets/d/1SX6NBoVAgQJ6U1MVXOaj8PK2l7WJ3RER9xtqwdhxkhw/edit?usp=sharing"",""ชลบุรี!J111"")"),0)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IFERROR(__xludf.DUMMYFUNCTION("IMPORTRANGE(""https://docs.google.com/spreadsheets/d/1SX6NBoVAgQJ6U1MVXOaj8PK2l7WJ3RER9xtqwdhxkhw/edit?usp=sharing"",""ชลบุรี!J112"")"),0)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IFERROR(__xludf.DUMMYFUNCTION("IMPORTRANGE(""https://docs.google.com/spreadsheets/d/1SX6NBoVAgQJ6U1MVXOaj8PK2l7WJ3RER9xtqwdhxkhw/edit?usp=sharing"",""ชลบุรี!J113"")"),0)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IFERROR(__xludf.DUMMYFUNCTION("IMPORTRANGE(""https://docs.google.com/spreadsheets/d/1SX6NBoVAgQJ6U1MVXOaj8PK2l7WJ3RER9xtqwdhxkhw/edit?usp=sharing"",""ชลบุรี!I114"")"),5000)</f>
        <v>5000</v>
      </c>
      <c r="J189" s="284">
        <f ca="1">IFERROR(__xludf.DUMMYFUNCTION("IMPORTRANGE(""https://docs.google.com/spreadsheets/d/1SX6NBoVAgQJ6U1MVXOaj8PK2l7WJ3RER9xtqwdhxkhw/edit?usp=sharing"",""ชลบุรี!J114"")"),0)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IFERROR(__xludf.DUMMYFUNCTION("IMPORTRANGE(""https://docs.google.com/spreadsheets/d/1SX6NBoVAgQJ6U1MVXOaj8PK2l7WJ3RER9xtqwdhxkhw/edit?usp=sharing"",""ชลบุรี!J119"")"),0)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IFERROR(__xludf.DUMMYFUNCTION("IMPORTRANGE(""https://docs.google.com/spreadsheets/d/1SX6NBoVAgQJ6U1MVXOaj8PK2l7WJ3RER9xtqwdhxkhw/edit?usp=sharing"",""ชลบุรี!J120"")"),1)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IFERROR(__xludf.DUMMYFUNCTION("IMPORTRANGE(""https://docs.google.com/spreadsheets/d/1SX6NBoVAgQJ6U1MVXOaj8PK2l7WJ3RER9xtqwdhxkhw/edit?usp=sharing"",""ชลบุรี!J121"")"),1)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IFERROR(__xludf.DUMMYFUNCTION("IMPORTRANGE(""https://docs.google.com/spreadsheets/d/1SX6NBoVAgQJ6U1MVXOaj8PK2l7WJ3RER9xtqwdhxkhw/edit?usp=sharing"",""ชลบุรี!J122"")"),0)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IFERROR(__xludf.DUMMYFUNCTION("IMPORTRANGE(""https://docs.google.com/spreadsheets/d/1SX6NBoVAgQJ6U1MVXOaj8PK2l7WJ3RER9xtqwdhxkhw/edit?usp=sharing"",""ชลบุรี!I124"")"),5000)</f>
        <v>5000</v>
      </c>
      <c r="J199" s="189">
        <f ca="1">IFERROR(__xludf.DUMMYFUNCTION("IMPORTRANGE(""https://docs.google.com/spreadsheets/d/1SX6NBoVAgQJ6U1MVXOaj8PK2l7WJ3RER9xtqwdhxkhw/edit?usp=sharing"",""ชลบุรี!J124"")"),0)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IFERROR(__xludf.DUMMYFUNCTION("IMPORTRANGE(""https://docs.google.com/spreadsheets/d/1SX6NBoVAgQJ6U1MVXOaj8PK2l7WJ3RER9xtqwdhxkhw/edit?usp=sharing"",""ชลบุรี!I125"")"),5000)</f>
        <v>5000</v>
      </c>
      <c r="J200" s="189">
        <f ca="1">IFERROR(__xludf.DUMMYFUNCTION("IMPORTRANGE(""https://docs.google.com/spreadsheets/d/1SX6NBoVAgQJ6U1MVXOaj8PK2l7WJ3RER9xtqwdhxkhw/edit?usp=sharing"",""ชลบุรี!J125"")"),0)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IFERROR(__xludf.DUMMYFUNCTION("IMPORTRANGE(""https://docs.google.com/spreadsheets/d/1SX6NBoVAgQJ6U1MVXOaj8PK2l7WJ3RER9xtqwdhxkhw/edit?usp=sharing"",""ชลบุรี!I126"")"),15)</f>
        <v>15</v>
      </c>
      <c r="J201" s="189">
        <f ca="1">IFERROR(__xludf.DUMMYFUNCTION("IMPORTRANGE(""https://docs.google.com/spreadsheets/d/1SX6NBoVAgQJ6U1MVXOaj8PK2l7WJ3RER9xtqwdhxkhw/edit?usp=sharing"",""ชลบุรี!J126"")"),15)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IFERROR(__xludf.DUMMYFUNCTION("IMPORTRANGE(""https://docs.google.com/spreadsheets/d/1SX6NBoVAgQJ6U1MVXOaj8PK2l7WJ3RER9xtqwdhxkhw/edit?usp=sharing"",""ชลบุรี!J127"")"),0)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IFERROR(__xludf.DUMMYFUNCTION("IMPORTRANGE(""https://docs.google.com/spreadsheets/d/1SX6NBoVAgQJ6U1MVXOaj8PK2l7WJ3RER9xtqwdhxkhw/edit?usp=sharing"",""ชลบุรี!J128"")"),0)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IFERROR(__xludf.DUMMYFUNCTION("IMPORTRANGE(""https://docs.google.com/spreadsheets/d/1SX6NBoVAgQJ6U1MVXOaj8PK2l7WJ3RER9xtqwdhxkhw/edit?usp=sharing"",""ชลบุรี!I129"")"),40)</f>
        <v>40</v>
      </c>
      <c r="J204" s="284">
        <f ca="1">IFERROR(__xludf.DUMMYFUNCTION("IMPORTRANGE(""https://docs.google.com/spreadsheets/d/1SX6NBoVAgQJ6U1MVXOaj8PK2l7WJ3RER9xtqwdhxkhw/edit?usp=sharing"",""ชลบุรี!J129"")"),40)</f>
        <v>40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IFERROR(__xludf.DUMMYFUNCTION("IMPORTRANGE(""https://docs.google.com/spreadsheets/d/1SX6NBoVAgQJ6U1MVXOaj8PK2l7WJ3RER9xtqwdhxkhw/edit?usp=sharing"",""ชลบุรี!J134"")"),0)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IFERROR(__xludf.DUMMYFUNCTION("IMPORTRANGE(""https://docs.google.com/spreadsheets/d/1SX6NBoVAgQJ6U1MVXOaj8PK2l7WJ3RER9xtqwdhxkhw/edit?usp=sharing"",""ชลบุรี!J135"")"),1)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IFERROR(__xludf.DUMMYFUNCTION("IMPORTRANGE(""https://docs.google.com/spreadsheets/d/1SX6NBoVAgQJ6U1MVXOaj8PK2l7WJ3RER9xtqwdhxkhw/edit?usp=sharing"",""ชลบุรี!J136"")"),1)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IFERROR(__xludf.DUMMYFUNCTION("IMPORTRANGE(""https://docs.google.com/spreadsheets/d/1SX6NBoVAgQJ6U1MVXOaj8PK2l7WJ3RER9xtqwdhxkhw/edit?usp=sharing"",""ชลบุรี!J137"")"),0)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IFERROR(__xludf.DUMMYFUNCTION("IMPORTRANGE(""https://docs.google.com/spreadsheets/d/1SX6NBoVAgQJ6U1MVXOaj8PK2l7WJ3RER9xtqwdhxkhw/edit?usp=sharing"",""ชลบุรี!I138"")"),40)</f>
        <v>40</v>
      </c>
      <c r="J213" s="204">
        <f ca="1">IFERROR(__xludf.DUMMYFUNCTION("IMPORTRANGE(""https://docs.google.com/spreadsheets/d/1SX6NBoVAgQJ6U1MVXOaj8PK2l7WJ3RER9xtqwdhxkhw/edit?usp=sharing"",""ชลบุรี!J138"")"),40)</f>
        <v>40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IFERROR(__xludf.DUMMYFUNCTION("IMPORTRANGE(""https://docs.google.com/spreadsheets/d/1SX6NBoVAgQJ6U1MVXOaj8PK2l7WJ3RER9xtqwdhxkhw/edit?usp=sharing"",""ชลบุรี!I140"")"),40)</f>
        <v>40</v>
      </c>
      <c r="J215" s="204">
        <f ca="1">IFERROR(__xludf.DUMMYFUNCTION("IMPORTRANGE(""https://docs.google.com/spreadsheets/d/1SX6NBoVAgQJ6U1MVXOaj8PK2l7WJ3RER9xtqwdhxkhw/edit?usp=sharing"",""ชลบุรี!J140"")"),0)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IFERROR(__xludf.DUMMYFUNCTION("IMPORTRANGE(""https://docs.google.com/spreadsheets/d/1SX6NBoVAgQJ6U1MVXOaj8PK2l7WJ3RER9xtqwdhxkhw/edit?usp=sharing"",""ชลบุรี!I141"")"),0)</f>
        <v>0</v>
      </c>
      <c r="J216" s="204">
        <f ca="1">IFERROR(__xludf.DUMMYFUNCTION("IMPORTRANGE(""https://docs.google.com/spreadsheets/d/1SX6NBoVAgQJ6U1MVXOaj8PK2l7WJ3RER9xtqwdhxkhw/edit?usp=sharing"",""ชลบุรี!J141"")"),0)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IFERROR(__xludf.DUMMYFUNCTION("IMPORTRANGE(""https://docs.google.com/spreadsheets/d/1SX6NBoVAgQJ6U1MVXOaj8PK2l7WJ3RER9xtqwdhxkhw/edit?usp=sharing"",""ชลบุรี!J142"")"),0)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IFERROR(__xludf.DUMMYFUNCTION("IMPORTRANGE(""https://docs.google.com/spreadsheets/d/1SX6NBoVAgQJ6U1MVXOaj8PK2l7WJ3RER9xtqwdhxkhw/edit?usp=sharing"",""ชลบุรี!J143"")"),0)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IFERROR(__xludf.DUMMYFUNCTION("IMPORTRANGE(""https://docs.google.com/spreadsheets/d/1SX6NBoVAgQJ6U1MVXOaj8PK2l7WJ3RER9xtqwdhxkhw/edit?usp=sharing"",""ชลบุรี!I144"")"),0)</f>
        <v>0</v>
      </c>
      <c r="J219" s="267">
        <f ca="1">IFERROR(__xludf.DUMMYFUNCTION("IMPORTRANGE(""https://docs.google.com/spreadsheets/d/1SX6NBoVAgQJ6U1MVXOaj8PK2l7WJ3RER9xtqwdhxkhw/edit?usp=sharing"",""ชลบุรี!J144"")"),0)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IFERROR(__xludf.DUMMYFUNCTION("IMPORTRANGE(""https://docs.google.com/spreadsheets/d/1Yj_ptqi66GCucihVvJfMjLAmec39IyEx_6qawtMGysU/edit?usp=sharing"",""สบก!BS62"")"),0)</f>
        <v>0</v>
      </c>
      <c r="N224" s="169">
        <f ca="1">IFERROR(__xludf.DUMMYFUNCTION("IMPORTRANGE(""https://docs.google.com/spreadsheets/d/1Yj_ptqi66GCucihVvJfMjLAmec39IyEx_6qawtMGysU/edit?usp=sharing"",""สบก!BT62"")"),0)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IFERROR(__xludf.DUMMYFUNCTION("IMPORTRANGE(""https://docs.google.com/spreadsheets/d/1Yj_ptqi66GCucihVvJfMjLAmec39IyEx_6qawtMGysU/edit?usp=sharing"",""สบก!BO62"")"),0)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IFERROR(__xludf.DUMMYFUNCTION("IMPORTRANGE(""https://docs.google.com/spreadsheets/d/1Yj_ptqi66GCucihVvJfMjLAmec39IyEx_6qawtMGysU/edit?usp=sharing"",""สบก!BP62"")"),0)</f>
        <v>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IFERROR(__xludf.DUMMYFUNCTION("IMPORTRANGE(""https://docs.google.com/spreadsheets/d/1Yj_ptqi66GCucihVvJfMjLAmec39IyEx_6qawtMGysU/edit?usp=sharing"",""สบก!BQ62"")"),0)</f>
        <v>0</v>
      </c>
      <c r="M228" s="49"/>
      <c r="N228" s="49">
        <f ca="1">IFERROR(__xludf.DUMMYFUNCTION("IMPORTRANGE(""https://docs.google.com/spreadsheets/d/1Yj_ptqi66GCucihVvJfMjLAmec39IyEx_6qawtMGysU/edit?usp=sharing"",""สบก!BU62"")"),0)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IFERROR(__xludf.DUMMYFUNCTION("IMPORTRANGE(""https://docs.google.com/spreadsheets/d/1SX6NBoVAgQJ6U1MVXOaj8PK2l7WJ3RER9xtqwdhxkhw/edit?usp=sharing"",""ชลบุรี!I149"")"),0)</f>
        <v>0</v>
      </c>
      <c r="J229" s="267">
        <f ca="1">IFERROR(__xludf.DUMMYFUNCTION("IMPORTRANGE(""https://docs.google.com/spreadsheets/d/1SX6NBoVAgQJ6U1MVXOaj8PK2l7WJ3RER9xtqwdhxkhw/edit?usp=sharing"",""ชลบุรี!J149"")"),0)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IFERROR(__xludf.DUMMYFUNCTION("IMPORTRANGE(""https://docs.google.com/spreadsheets/d/1SX6NBoVAgQJ6U1MVXOaj8PK2l7WJ3RER9xtqwdhxkhw/edit?usp=sharing"",""ชลบุรี!J151"")"),0)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IFERROR(__xludf.DUMMYFUNCTION("IMPORTRANGE(""https://docs.google.com/spreadsheets/d/1SX6NBoVAgQJ6U1MVXOaj8PK2l7WJ3RER9xtqwdhxkhw/edit?usp=sharing"",""ชลบุรี!J152"")"),0)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IFERROR(__xludf.DUMMYFUNCTION("IMPORTRANGE(""https://docs.google.com/spreadsheets/d/1SX6NBoVAgQJ6U1MVXOaj8PK2l7WJ3RER9xtqwdhxkhw/edit?usp=sharing"",""ชลบุรี!J153"")"),0)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IFERROR(__xludf.DUMMYFUNCTION("IMPORTRANGE(""https://docs.google.com/spreadsheets/d/1SX6NBoVAgQJ6U1MVXOaj8PK2l7WJ3RER9xtqwdhxkhw/edit?usp=sharing"",""ชลบุรี!J154"")"),0)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IFERROR(__xludf.DUMMYFUNCTION("IMPORTRANGE(""https://docs.google.com/spreadsheets/d/1SX6NBoVAgQJ6U1MVXOaj8PK2l7WJ3RER9xtqwdhxkhw/edit?usp=sharing"",""ชลบุรี!I155"")"),0)</f>
        <v>0</v>
      </c>
      <c r="J235" s="189">
        <f ca="1">IFERROR(__xludf.DUMMYFUNCTION("IMPORTRANGE(""https://docs.google.com/spreadsheets/d/1SX6NBoVAgQJ6U1MVXOaj8PK2l7WJ3RER9xtqwdhxkhw/edit?usp=sharing"",""ชลบุรี!J155"")"),0)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IFERROR(__xludf.DUMMYFUNCTION("IMPORTRANGE(""https://docs.google.com/spreadsheets/d/1SX6NBoVAgQJ6U1MVXOaj8PK2l7WJ3RER9xtqwdhxkhw/edit?usp=sharing"",""ชลบุรี!J156"")"),0)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IFERROR(__xludf.DUMMYFUNCTION("IMPORTRANGE(""https://docs.google.com/spreadsheets/d/1SX6NBoVAgQJ6U1MVXOaj8PK2l7WJ3RER9xtqwdhxkhw/edit?usp=sharing"",""ชลบุรี!J157"")"),0)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IFERROR(__xludf.DUMMYFUNCTION("IMPORTRANGE(""https://docs.google.com/spreadsheets/d/1SX6NBoVAgQJ6U1MVXOaj8PK2l7WJ3RER9xtqwdhxkhw/edit?usp=sharing"",""ชลบุรี!I158"")"),0)</f>
        <v>0</v>
      </c>
      <c r="J238" s="267">
        <f ca="1">IFERROR(__xludf.DUMMYFUNCTION("IMPORTRANGE(""https://docs.google.com/spreadsheets/d/1SX6NBoVAgQJ6U1MVXOaj8PK2l7WJ3RER9xtqwdhxkhw/edit?usp=sharing"",""ชลบุรี!J158"")"),0)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IFERROR(__xludf.DUMMYFUNCTION("IMPORTRANGE(""https://docs.google.com/spreadsheets/d/1SX6NBoVAgQJ6U1MVXOaj8PK2l7WJ3RER9xtqwdhxkhw/edit?usp=sharing"",""ชลบุรี!J159"")"),"")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IFERROR(__xludf.DUMMYFUNCTION("IMPORTRANGE(""https://docs.google.com/spreadsheets/d/1SX6NBoVAgQJ6U1MVXOaj8PK2l7WJ3RER9xtqwdhxkhw/edit?usp=sharing"",""ชลบุรี!J161"")"),0)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IFERROR(__xludf.DUMMYFUNCTION("IMPORTRANGE(""https://docs.google.com/spreadsheets/d/1SX6NBoVAgQJ6U1MVXOaj8PK2l7WJ3RER9xtqwdhxkhw/edit?usp=sharing"",""ชลบุรี!J162"")"),0)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IFERROR(__xludf.DUMMYFUNCTION("IMPORTRANGE(""https://docs.google.com/spreadsheets/d/1SX6NBoVAgQJ6U1MVXOaj8PK2l7WJ3RER9xtqwdhxkhw/edit?usp=sharing"",""ชลบุรี!J163"")"),0)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IFERROR(__xludf.DUMMYFUNCTION("IMPORTRANGE(""https://docs.google.com/spreadsheets/d/1SX6NBoVAgQJ6U1MVXOaj8PK2l7WJ3RER9xtqwdhxkhw/edit?usp=sharing"",""ชลบุรี!I164"")"),0)</f>
        <v>0</v>
      </c>
      <c r="J244" s="188">
        <f ca="1">IFERROR(__xludf.DUMMYFUNCTION("IMPORTRANGE(""https://docs.google.com/spreadsheets/d/1SX6NBoVAgQJ6U1MVXOaj8PK2l7WJ3RER9xtqwdhxkhw/edit?usp=sharing"",""ชลบุรี!J164"")"),0)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IFERROR(__xludf.DUMMYFUNCTION("IMPORTRANGE(""https://docs.google.com/spreadsheets/d/1SX6NBoVAgQJ6U1MVXOaj8PK2l7WJ3RER9xtqwdhxkhw/edit?usp=sharing"",""ชลบุรี!J165"")"),0)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IFERROR(__xludf.DUMMYFUNCTION("IMPORTRANGE(""https://docs.google.com/spreadsheets/d/1SX6NBoVAgQJ6U1MVXOaj8PK2l7WJ3RER9xtqwdhxkhw/edit?usp=sharing"",""ชลบุรี!J166"")"),0)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IFERROR(__xludf.DUMMYFUNCTION("IMPORTRANGE(""https://docs.google.com/spreadsheets/d/1SX6NBoVAgQJ6U1MVXOaj8PK2l7WJ3RER9xtqwdhxkhw/edit?usp=sharing"",""ชลบุรี!I169"")"),0)</f>
        <v>0</v>
      </c>
      <c r="J249" s="316">
        <f ca="1">IFERROR(__xludf.DUMMYFUNCTION("IMPORTRANGE(""https://docs.google.com/spreadsheets/d/1SX6NBoVAgQJ6U1MVXOaj8PK2l7WJ3RER9xtqwdhxkhw/edit?usp=sharing"",""ชลบุรี!J169"")"),0)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IFERROR(__xludf.DUMMYFUNCTION("IMPORTRANGE(""https://docs.google.com/spreadsheets/d/1Yj_ptqi66GCucihVvJfMjLAmec39IyEx_6qawtMGysU/edit?usp=sharing"",""สบก!CB62"")"),0)</f>
        <v>0</v>
      </c>
      <c r="N254" s="169">
        <f ca="1">IFERROR(__xludf.DUMMYFUNCTION("IMPORTRANGE(""https://docs.google.com/spreadsheets/d/1Yj_ptqi66GCucihVvJfMjLAmec39IyEx_6qawtMGysU/edit?usp=sharing"",""สบก!CC62"")"),0)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IFERROR(__xludf.DUMMYFUNCTION("IMPORTRANGE(""https://docs.google.com/spreadsheets/d/1Yj_ptqi66GCucihVvJfMjLAmec39IyEx_6qawtMGysU/edit?usp=sharing"",""สบก!BX62"")"),0)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IFERROR(__xludf.DUMMYFUNCTION("IMPORTRANGE(""https://docs.google.com/spreadsheets/d/1Yj_ptqi66GCucihVvJfMjLAmec39IyEx_6qawtMGysU/edit?usp=sharing"",""สบก!BY62"")"),0)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IFERROR(__xludf.DUMMYFUNCTION("IMPORTRANGE(""https://docs.google.com/spreadsheets/d/1Yj_ptqi66GCucihVvJfMjLAmec39IyEx_6qawtMGysU/edit?usp=sharing"",""สบก!BZ62"")"),0)</f>
        <v>0</v>
      </c>
      <c r="M258" s="49"/>
      <c r="N258" s="49">
        <f ca="1">IFERROR(__xludf.DUMMYFUNCTION("IMPORTRANGE(""https://docs.google.com/spreadsheets/d/1Yj_ptqi66GCucihVvJfMjLAmec39IyEx_6qawtMGysU/edit?usp=sharing"",""สบก!CD62"")"),0)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IFERROR(__xludf.DUMMYFUNCTION("IMPORTRANGE(""https://docs.google.com/spreadsheets/d/1SX6NBoVAgQJ6U1MVXOaj8PK2l7WJ3RER9xtqwdhxkhw/edit?usp=sharing"",""ชลบุรี!J175"")"),0)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IFERROR(__xludf.DUMMYFUNCTION("IMPORTRANGE(""https://docs.google.com/spreadsheets/d/1SX6NBoVAgQJ6U1MVXOaj8PK2l7WJ3RER9xtqwdhxkhw/edit?usp=sharing"",""ชลบุรี!J176"")"),0)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IFERROR(__xludf.DUMMYFUNCTION("IMPORTRANGE(""https://docs.google.com/spreadsheets/d/1SX6NBoVAgQJ6U1MVXOaj8PK2l7WJ3RER9xtqwdhxkhw/edit?usp=sharing"",""ชลบุรี!J177"")"),0)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IFERROR(__xludf.DUMMYFUNCTION("IMPORTRANGE(""https://docs.google.com/spreadsheets/d/1SX6NBoVAgQJ6U1MVXOaj8PK2l7WJ3RER9xtqwdhxkhw/edit?usp=sharing"",""ชลบุรี!J178"")"),0)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IFERROR(__xludf.DUMMYFUNCTION("IMPORTRANGE(""https://docs.google.com/spreadsheets/d/1SX6NBoVAgQJ6U1MVXOaj8PK2l7WJ3RER9xtqwdhxkhw/edit?usp=sharing"",""ชลบุรี!I179"")"),0)</f>
        <v>0</v>
      </c>
      <c r="J264" s="189">
        <f ca="1">IFERROR(__xludf.DUMMYFUNCTION("IMPORTRANGE(""https://docs.google.com/spreadsheets/d/1SX6NBoVAgQJ6U1MVXOaj8PK2l7WJ3RER9xtqwdhxkhw/edit?usp=sharing"",""ชลบุรี!J179"")"),0)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IFERROR(__xludf.DUMMYFUNCTION("IMPORTRANGE(""https://docs.google.com/spreadsheets/d/1SX6NBoVAgQJ6U1MVXOaj8PK2l7WJ3RER9xtqwdhxkhw/edit?usp=sharing"",""ชลบุรี!I180"")"),0)</f>
        <v>0</v>
      </c>
      <c r="J265" s="189">
        <f ca="1">IFERROR(__xludf.DUMMYFUNCTION("IMPORTRANGE(""https://docs.google.com/spreadsheets/d/1SX6NBoVAgQJ6U1MVXOaj8PK2l7WJ3RER9xtqwdhxkhw/edit?usp=sharing"",""ชลบุรี!J180"")"),0)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IFERROR(__xludf.DUMMYFUNCTION("IMPORTRANGE(""https://docs.google.com/spreadsheets/d/1SX6NBoVAgQJ6U1MVXOaj8PK2l7WJ3RER9xtqwdhxkhw/edit?usp=sharing"",""ชลบุรี!I181"")"),0)</f>
        <v>0</v>
      </c>
      <c r="J266" s="189">
        <f ca="1">IFERROR(__xludf.DUMMYFUNCTION("IMPORTRANGE(""https://docs.google.com/spreadsheets/d/1SX6NBoVAgQJ6U1MVXOaj8PK2l7WJ3RER9xtqwdhxkhw/edit?usp=sharing"",""ชลบุรี!J181"")"),0)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IFERROR(__xludf.DUMMYFUNCTION("IMPORTRANGE(""https://docs.google.com/spreadsheets/d/1SX6NBoVAgQJ6U1MVXOaj8PK2l7WJ3RER9xtqwdhxkhw/edit?usp=sharing"",""ชลบุรี!I182"")"),0)</f>
        <v>0</v>
      </c>
      <c r="J267" s="189">
        <f ca="1">IFERROR(__xludf.DUMMYFUNCTION("IMPORTRANGE(""https://docs.google.com/spreadsheets/d/1SX6NBoVAgQJ6U1MVXOaj8PK2l7WJ3RER9xtqwdhxkhw/edit?usp=sharing"",""ชลบุรี!J182"")"),0)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IFERROR(__xludf.DUMMYFUNCTION("IMPORTRANGE(""https://docs.google.com/spreadsheets/d/1SX6NBoVAgQJ6U1MVXOaj8PK2l7WJ3RER9xtqwdhxkhw/edit?usp=sharing"",""ชลบุรี!J183"")"),0)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IFERROR(__xludf.DUMMYFUNCTION("IMPORTRANGE(""https://docs.google.com/spreadsheets/d/1SX6NBoVAgQJ6U1MVXOaj8PK2l7WJ3RER9xtqwdhxkhw/edit?usp=sharing"",""ชลบุรี!J184"")"),0)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IFERROR(__xludf.DUMMYFUNCTION("IMPORTRANGE(""https://docs.google.com/spreadsheets/d/1SX6NBoVAgQJ6U1MVXOaj8PK2l7WJ3RER9xtqwdhxkhw/edit?usp=sharing"",""ชลบุรี!I185"")"),15)</f>
        <v>15</v>
      </c>
      <c r="J270" s="316">
        <f ca="1">IFERROR(__xludf.DUMMYFUNCTION("IMPORTRANGE(""https://docs.google.com/spreadsheets/d/1SX6NBoVAgQJ6U1MVXOaj8PK2l7WJ3RER9xtqwdhxkhw/edit?usp=sharing"",""ชลบุรี!J185"")"),15)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26110</v>
      </c>
      <c r="O271" s="151">
        <f t="shared" ref="O271:O273" ca="1" si="84">IF(L271&gt;0,N271*100/L271,0)</f>
        <v>47.300724637681157</v>
      </c>
      <c r="P271" s="151">
        <f t="shared" ref="P271:P273" ca="1" si="85">IF(M271&gt;0,N271*100/M271,0)</f>
        <v>80.961240310077514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26110</v>
      </c>
      <c r="O273" s="156">
        <f t="shared" ca="1" si="84"/>
        <v>47.300724637681157</v>
      </c>
      <c r="P273" s="156">
        <f t="shared" ca="1" si="85"/>
        <v>80.961240310077514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IFERROR(__xludf.DUMMYFUNCTION("IMPORTRANGE(""https://docs.google.com/spreadsheets/d/1Yj_ptqi66GCucihVvJfMjLAmec39IyEx_6qawtMGysU/edit?usp=sharing"",""สบก!CK62"")"),32250)</f>
        <v>32250</v>
      </c>
      <c r="N275" s="169">
        <f ca="1">IFERROR(__xludf.DUMMYFUNCTION("IMPORTRANGE(""https://docs.google.com/spreadsheets/d/1Yj_ptqi66GCucihVvJfMjLAmec39IyEx_6qawtMGysU/edit?usp=sharing"",""สบก!CL62"")"),26110)</f>
        <v>26110</v>
      </c>
      <c r="O275" s="169">
        <f ca="1">IF(L275&gt;0,N275*100/L275,0)</f>
        <v>47.300724637681157</v>
      </c>
      <c r="P275" s="169">
        <f ca="1">IF(M275&gt;0,N275*100/M275,0)</f>
        <v>80.961240310077514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IFERROR(__xludf.DUMMYFUNCTION("IMPORTRANGE(""https://docs.google.com/spreadsheets/d/1Yj_ptqi66GCucihVvJfMjLAmec39IyEx_6qawtMGysU/edit?usp=sharing"",""สบก!CG62"")"),0)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IFERROR(__xludf.DUMMYFUNCTION("IMPORTRANGE(""https://docs.google.com/spreadsheets/d/1Yj_ptqi66GCucihVvJfMjLAmec39IyEx_6qawtMGysU/edit?usp=sharing"",""สบก!CH62"")"),55200)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IFERROR(__xludf.DUMMYFUNCTION("IMPORTRANGE(""https://docs.google.com/spreadsheets/d/1Yj_ptqi66GCucihVvJfMjLAmec39IyEx_6qawtMGysU/edit?usp=sharing"",""สบก!CI62"")"),0)</f>
        <v>0</v>
      </c>
      <c r="M279" s="49"/>
      <c r="N279" s="49">
        <f ca="1">IFERROR(__xludf.DUMMYFUNCTION("IMPORTRANGE(""https://docs.google.com/spreadsheets/d/1Yj_ptqi66GCucihVvJfMjLAmec39IyEx_6qawtMGysU/edit?usp=sharing"",""สบก!CM62"")"),0)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IFERROR(__xludf.DUMMYFUNCTION("IMPORTRANGE(""https://docs.google.com/spreadsheets/d/1SX6NBoVAgQJ6U1MVXOaj8PK2l7WJ3RER9xtqwdhxkhw/edit?usp=sharing"",""ชลบุรี!J191"")"),0)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IFERROR(__xludf.DUMMYFUNCTION("IMPORTRANGE(""https://docs.google.com/spreadsheets/d/1SX6NBoVAgQJ6U1MVXOaj8PK2l7WJ3RER9xtqwdhxkhw/edit?usp=sharing"",""ชลบุรี!J192"")"),1)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IFERROR(__xludf.DUMMYFUNCTION("IMPORTRANGE(""https://docs.google.com/spreadsheets/d/1SX6NBoVAgQJ6U1MVXOaj8PK2l7WJ3RER9xtqwdhxkhw/edit?usp=sharing"",""ชลบุรี!J193"")"),1)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IFERROR(__xludf.DUMMYFUNCTION("IMPORTRANGE(""https://docs.google.com/spreadsheets/d/1SX6NBoVAgQJ6U1MVXOaj8PK2l7WJ3RER9xtqwdhxkhw/edit?usp=sharing"",""ชลบุรี!J194"")"),1)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IFERROR(__xludf.DUMMYFUNCTION("IMPORTRANGE(""https://docs.google.com/spreadsheets/d/1SX6NBoVAgQJ6U1MVXOaj8PK2l7WJ3RER9xtqwdhxkhw/edit?usp=sharing"",""ชลบุรี!I195"")"),15)</f>
        <v>15</v>
      </c>
      <c r="J285" s="189">
        <f ca="1">IFERROR(__xludf.DUMMYFUNCTION("IMPORTRANGE(""https://docs.google.com/spreadsheets/d/1SX6NBoVAgQJ6U1MVXOaj8PK2l7WJ3RER9xtqwdhxkhw/edit?usp=sharing"",""ชลบุรี!J195"")"),15)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IFERROR(__xludf.DUMMYFUNCTION("IMPORTRANGE(""https://docs.google.com/spreadsheets/d/1SX6NBoVAgQJ6U1MVXOaj8PK2l7WJ3RER9xtqwdhxkhw/edit?usp=sharing"",""ชลบุรี!J196"")"),0)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IFERROR(__xludf.DUMMYFUNCTION("IMPORTRANGE(""https://docs.google.com/spreadsheets/d/1SX6NBoVAgQJ6U1MVXOaj8PK2l7WJ3RER9xtqwdhxkhw/edit?usp=sharing"",""ชลบุรี!J197"")"),0)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IFERROR(__xludf.DUMMYFUNCTION("IMPORTRANGE(""https://docs.google.com/spreadsheets/d/1SX6NBoVAgQJ6U1MVXOaj8PK2l7WJ3RER9xtqwdhxkhw/edit?usp=sharing"",""ชลบุรี!I199"")"),30)</f>
        <v>30</v>
      </c>
      <c r="J289" s="316">
        <f ca="1">IFERROR(__xludf.DUMMYFUNCTION("IMPORTRANGE(""https://docs.google.com/spreadsheets/d/1SX6NBoVAgQJ6U1MVXOaj8PK2l7WJ3RER9xtqwdhxkhw/edit?usp=sharing"",""ชลบุรี!J199"")"),30)</f>
        <v>30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96320</v>
      </c>
      <c r="M290" s="152">
        <f t="shared" ca="1" si="88"/>
        <v>96320</v>
      </c>
      <c r="N290" s="152">
        <f t="shared" ca="1" si="88"/>
        <v>42600</v>
      </c>
      <c r="O290" s="151">
        <f t="shared" ref="O290:O292" ca="1" si="89">IF(L290&gt;0,N290*100/L290,0)</f>
        <v>44.227574750830563</v>
      </c>
      <c r="P290" s="151">
        <f t="shared" ref="P290:P292" ca="1" si="90">IF(M290&gt;0,N290*100/M290,0)</f>
        <v>44.227574750830563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96320</v>
      </c>
      <c r="M292" s="157">
        <f t="shared" ca="1" si="92"/>
        <v>96320</v>
      </c>
      <c r="N292" s="157">
        <f t="shared" ca="1" si="92"/>
        <v>42600</v>
      </c>
      <c r="O292" s="156">
        <f t="shared" ca="1" si="89"/>
        <v>44.227574750830563</v>
      </c>
      <c r="P292" s="156">
        <f t="shared" ca="1" si="90"/>
        <v>44.227574750830563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96320</v>
      </c>
      <c r="M294" s="168">
        <f ca="1">IFERROR(__xludf.DUMMYFUNCTION("IMPORTRANGE(""https://docs.google.com/spreadsheets/d/1Yj_ptqi66GCucihVvJfMjLAmec39IyEx_6qawtMGysU/edit?usp=sharing"",""สบก!CT62"")"),96320)</f>
        <v>96320</v>
      </c>
      <c r="N294" s="169">
        <f ca="1">IFERROR(__xludf.DUMMYFUNCTION("IMPORTRANGE(""https://docs.google.com/spreadsheets/d/1Yj_ptqi66GCucihVvJfMjLAmec39IyEx_6qawtMGysU/edit?usp=sharing"",""สบก!CU62"")"),42600)</f>
        <v>42600</v>
      </c>
      <c r="O294" s="169">
        <f ca="1">IF(L294&gt;0,N294*100/L294,0)</f>
        <v>44.227574750830563</v>
      </c>
      <c r="P294" s="169">
        <f ca="1">IF(M294&gt;0,N294*100/M294,0)</f>
        <v>44.227574750830563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IFERROR(__xludf.DUMMYFUNCTION("IMPORTRANGE(""https://docs.google.com/spreadsheets/d/1Yj_ptqi66GCucihVvJfMjLAmec39IyEx_6qawtMGysU/edit?usp=sharing"",""สบก!CP62"")"),0)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IFERROR(__xludf.DUMMYFUNCTION("IMPORTRANGE(""https://docs.google.com/spreadsheets/d/1Yj_ptqi66GCucihVvJfMjLAmec39IyEx_6qawtMGysU/edit?usp=sharing"",""สบก!CQ62"")"),96320)</f>
        <v>96320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IFERROR(__xludf.DUMMYFUNCTION("IMPORTRANGE(""https://docs.google.com/spreadsheets/d/1Yj_ptqi66GCucihVvJfMjLAmec39IyEx_6qawtMGysU/edit?usp=sharing"",""สบก!CR62"")"),0)</f>
        <v>0</v>
      </c>
      <c r="M298" s="49"/>
      <c r="N298" s="49">
        <f ca="1">IFERROR(__xludf.DUMMYFUNCTION("IMPORTRANGE(""https://docs.google.com/spreadsheets/d/1Yj_ptqi66GCucihVvJfMjLAmec39IyEx_6qawtMGysU/edit?usp=sharing"",""สบก!CV62"")"),0)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IFERROR(__xludf.DUMMYFUNCTION("IMPORTRANGE(""https://docs.google.com/spreadsheets/d/1SX6NBoVAgQJ6U1MVXOaj8PK2l7WJ3RER9xtqwdhxkhw/edit?usp=sharing"",""ชลบุรี!J205"")"),0)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IFERROR(__xludf.DUMMYFUNCTION("IMPORTRANGE(""https://docs.google.com/spreadsheets/d/1SX6NBoVAgQJ6U1MVXOaj8PK2l7WJ3RER9xtqwdhxkhw/edit?usp=sharing"",""ชลบุรี!J206"")"),1)</f>
        <v>1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IFERROR(__xludf.DUMMYFUNCTION("IMPORTRANGE(""https://docs.google.com/spreadsheets/d/1SX6NBoVAgQJ6U1MVXOaj8PK2l7WJ3RER9xtqwdhxkhw/edit?usp=sharing"",""ชลบุรี!J207"")"),1)</f>
        <v>1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IFERROR(__xludf.DUMMYFUNCTION("IMPORTRANGE(""https://docs.google.com/spreadsheets/d/1SX6NBoVAgQJ6U1MVXOaj8PK2l7WJ3RER9xtqwdhxkhw/edit?usp=sharing"",""ชลบุรี!J208"")"),1)</f>
        <v>1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IFERROR(__xludf.DUMMYFUNCTION("IMPORTRANGE(""https://docs.google.com/spreadsheets/d/1SX6NBoVAgQJ6U1MVXOaj8PK2l7WJ3RER9xtqwdhxkhw/edit?usp=sharing"",""ชลบุรี!I209"")"),30)</f>
        <v>30</v>
      </c>
      <c r="J304" s="204">
        <f ca="1">IFERROR(__xludf.DUMMYFUNCTION("IMPORTRANGE(""https://docs.google.com/spreadsheets/d/1SX6NBoVAgQJ6U1MVXOaj8PK2l7WJ3RER9xtqwdhxkhw/edit?usp=sharing"",""ชลบุรี!J209"")"),30)</f>
        <v>30</v>
      </c>
      <c r="K304" s="224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IFERROR(__xludf.DUMMYFUNCTION("IMPORTRANGE(""https://docs.google.com/spreadsheets/d/1SX6NBoVAgQJ6U1MVXOaj8PK2l7WJ3RER9xtqwdhxkhw/edit?usp=sharing"",""ชลบุรี!I211"")"),30)</f>
        <v>30</v>
      </c>
      <c r="J306" s="204">
        <f ca="1">IFERROR(__xludf.DUMMYFUNCTION("IMPORTRANGE(""https://docs.google.com/spreadsheets/d/1SX6NBoVAgQJ6U1MVXOaj8PK2l7WJ3RER9xtqwdhxkhw/edit?usp=sharing"",""ชลบุรี!J211"")"),0)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IFERROR(__xludf.DUMMYFUNCTION("IMPORTRANGE(""https://docs.google.com/spreadsheets/d/1SX6NBoVAgQJ6U1MVXOaj8PK2l7WJ3RER9xtqwdhxkhw/edit?usp=sharing"",""ชลบุรี!J212"")"),0)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IFERROR(__xludf.DUMMYFUNCTION("IMPORTRANGE(""https://docs.google.com/spreadsheets/d/1SX6NBoVAgQJ6U1MVXOaj8PK2l7WJ3RER9xtqwdhxkhw/edit?usp=sharing"",""ชลบุรี!J213"")"),0)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IFERROR(__xludf.DUMMYFUNCTION("IMPORTRANGE(""https://docs.google.com/spreadsheets/d/1SX6NBoVAgQJ6U1MVXOaj8PK2l7WJ3RER9xtqwdhxkhw/edit?usp=sharing"",""ชลบุรี!I214"")"),2)</f>
        <v>2</v>
      </c>
      <c r="J309" s="333">
        <f ca="1">IFERROR(__xludf.DUMMYFUNCTION("IMPORTRANGE(""https://docs.google.com/spreadsheets/d/1SX6NBoVAgQJ6U1MVXOaj8PK2l7WJ3RER9xtqwdhxkhw/edit?usp=sharing"",""ชลบุรี!J214"")"),2)</f>
        <v>2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359600</v>
      </c>
      <c r="M310" s="152">
        <f t="shared" ca="1" si="93"/>
        <v>269700</v>
      </c>
      <c r="N310" s="152">
        <f t="shared" ca="1" si="93"/>
        <v>145164</v>
      </c>
      <c r="O310" s="151">
        <f t="shared" ref="O310:O312" ca="1" si="94">IF(L310&gt;0,N310*100/L310,0)</f>
        <v>40.368186874304783</v>
      </c>
      <c r="P310" s="151">
        <f t="shared" ref="P310:P312" ca="1" si="95">IF(M310&gt;0,N310*100/M310,0)</f>
        <v>53.824249165739708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359600</v>
      </c>
      <c r="M312" s="157">
        <f t="shared" ca="1" si="97"/>
        <v>269700</v>
      </c>
      <c r="N312" s="157">
        <f t="shared" ca="1" si="97"/>
        <v>145164</v>
      </c>
      <c r="O312" s="156">
        <f t="shared" ca="1" si="94"/>
        <v>40.368186874304783</v>
      </c>
      <c r="P312" s="156">
        <f t="shared" ca="1" si="95"/>
        <v>53.824249165739708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359600</v>
      </c>
      <c r="M314" s="168">
        <f ca="1">IFERROR(__xludf.DUMMYFUNCTION("IMPORTRANGE(""https://docs.google.com/spreadsheets/d/1Yj_ptqi66GCucihVvJfMjLAmec39IyEx_6qawtMGysU/edit?usp=sharing"",""สบก!DC62"")"),269700)</f>
        <v>269700</v>
      </c>
      <c r="N314" s="169">
        <f ca="1">IFERROR(__xludf.DUMMYFUNCTION("IMPORTRANGE(""https://docs.google.com/spreadsheets/d/1Yj_ptqi66GCucihVvJfMjLAmec39IyEx_6qawtMGysU/edit?usp=sharing"",""สบก!DD62"")"),145164)</f>
        <v>145164</v>
      </c>
      <c r="O314" s="169">
        <f ca="1">IF(L314&gt;0,N314*100/L314,0)</f>
        <v>40.368186874304783</v>
      </c>
      <c r="P314" s="169">
        <f ca="1">IF(M314&gt;0,N314*100/M314,0)</f>
        <v>53.824249165739708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IFERROR(__xludf.DUMMYFUNCTION("IMPORTRANGE(""https://docs.google.com/spreadsheets/d/1Yj_ptqi66GCucihVvJfMjLAmec39IyEx_6qawtMGysU/edit?usp=sharing"",""สบก!CY62"")"),0)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IFERROR(__xludf.DUMMYFUNCTION("IMPORTRANGE(""https://docs.google.com/spreadsheets/d/1Yj_ptqi66GCucihVvJfMjLAmec39IyEx_6qawtMGysU/edit?usp=sharing"",""สบก!CZ62"")"),359600)</f>
        <v>359600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IFERROR(__xludf.DUMMYFUNCTION("IMPORTRANGE(""https://docs.google.com/spreadsheets/d/1Yj_ptqi66GCucihVvJfMjLAmec39IyEx_6qawtMGysU/edit?usp=sharing"",""สบก!DA62"")"),0)</f>
        <v>0</v>
      </c>
      <c r="M318" s="49"/>
      <c r="N318" s="49">
        <f ca="1">IFERROR(__xludf.DUMMYFUNCTION("IMPORTRANGE(""https://docs.google.com/spreadsheets/d/1Yj_ptqi66GCucihVvJfMjLAmec39IyEx_6qawtMGysU/edit?usp=sharing"",""สบก!DE62"")"),0)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IFERROR(__xludf.DUMMYFUNCTION("IMPORTRANGE(""https://docs.google.com/spreadsheets/d/1SX6NBoVAgQJ6U1MVXOaj8PK2l7WJ3RER9xtqwdhxkhw/edit?usp=sharing"",""ชลบุรี!J220"")"),0)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IFERROR(__xludf.DUMMYFUNCTION("IMPORTRANGE(""https://docs.google.com/spreadsheets/d/1SX6NBoVAgQJ6U1MVXOaj8PK2l7WJ3RER9xtqwdhxkhw/edit?usp=sharing"",""ชลบุรี!J221"")"),1)</f>
        <v>1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IFERROR(__xludf.DUMMYFUNCTION("IMPORTRANGE(""https://docs.google.com/spreadsheets/d/1SX6NBoVAgQJ6U1MVXOaj8PK2l7WJ3RER9xtqwdhxkhw/edit?usp=sharing"",""ชลบุรี!J222"")"),0)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IFERROR(__xludf.DUMMYFUNCTION("IMPORTRANGE(""https://docs.google.com/spreadsheets/d/1SX6NBoVAgQJ6U1MVXOaj8PK2l7WJ3RER9xtqwdhxkhw/edit?usp=sharing"",""ชลบุรี!J223"")"),0)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IFERROR(__xludf.DUMMYFUNCTION("IMPORTRANGE(""https://docs.google.com/spreadsheets/d/1SX6NBoVAgQJ6U1MVXOaj8PK2l7WJ3RER9xtqwdhxkhw/edit?usp=sharing"",""ชลบุรี!I224"")"),2)</f>
        <v>2</v>
      </c>
      <c r="J324" s="204">
        <f ca="1">IFERROR(__xludf.DUMMYFUNCTION("IMPORTRANGE(""https://docs.google.com/spreadsheets/d/1SX6NBoVAgQJ6U1MVXOaj8PK2l7WJ3RER9xtqwdhxkhw/edit?usp=sharing"",""ชลบุรี!J224"")"),2)</f>
        <v>2</v>
      </c>
      <c r="K324" s="224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IFERROR(__xludf.DUMMYFUNCTION("IMPORTRANGE(""https://docs.google.com/spreadsheets/d/1SX6NBoVAgQJ6U1MVXOaj8PK2l7WJ3RER9xtqwdhxkhw/edit?usp=sharing"",""ชลบุรี!J225"")"),0)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IFERROR(__xludf.DUMMYFUNCTION("IMPORTRANGE(""https://docs.google.com/spreadsheets/d/1SX6NBoVAgQJ6U1MVXOaj8PK2l7WJ3RER9xtqwdhxkhw/edit?usp=sharing"",""ชลบุรี!J226"")"),0)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IFERROR(__xludf.DUMMYFUNCTION("IMPORTRANGE(""https://docs.google.com/spreadsheets/d/1SX6NBoVAgQJ6U1MVXOaj8PK2l7WJ3RER9xtqwdhxkhw/edit?usp=sharing"",""ชลบุรี!I228"")"),190)</f>
        <v>190</v>
      </c>
      <c r="J328" s="339">
        <f ca="1">IFERROR(__xludf.DUMMYFUNCTION("IMPORTRANGE(""https://docs.google.com/spreadsheets/d/1SX6NBoVAgQJ6U1MVXOaj8PK2l7WJ3RER9xtqwdhxkhw/edit?usp=sharing"",""ชลบุรี!J228"")"),183)</f>
        <v>183</v>
      </c>
      <c r="K328" s="317">
        <f ca="1">IF(I328&gt;0,J328*100/I328,0)</f>
        <v>96.315789473684205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920200</v>
      </c>
      <c r="M329" s="152">
        <f t="shared" ca="1" si="98"/>
        <v>667710</v>
      </c>
      <c r="N329" s="152">
        <f t="shared" ca="1" si="98"/>
        <v>484246.99</v>
      </c>
      <c r="O329" s="151">
        <f t="shared" ref="O329:O331" ca="1" si="99">IF(L329&gt;0,N329*100/L329,0)</f>
        <v>52.624102369050206</v>
      </c>
      <c r="P329" s="151">
        <f t="shared" ref="P329:P331" ca="1" si="100">IF(M329&gt;0,N329*100/M329,0)</f>
        <v>72.523549145587154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920200</v>
      </c>
      <c r="M331" s="157">
        <f t="shared" ca="1" si="102"/>
        <v>667710</v>
      </c>
      <c r="N331" s="157">
        <f t="shared" ca="1" si="102"/>
        <v>484246.99</v>
      </c>
      <c r="O331" s="156">
        <f t="shared" ca="1" si="99"/>
        <v>52.624102369050206</v>
      </c>
      <c r="P331" s="156">
        <f t="shared" ca="1" si="100"/>
        <v>72.523549145587154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893200</v>
      </c>
      <c r="M333" s="168">
        <f ca="1">IFERROR(__xludf.DUMMYFUNCTION("IMPORTRANGE(""https://docs.google.com/spreadsheets/d/1Yj_ptqi66GCucihVvJfMjLAmec39IyEx_6qawtMGysU/edit?usp=sharing"",""สบก!DL62"")"),640710)</f>
        <v>640710</v>
      </c>
      <c r="N333" s="169">
        <f ca="1">IFERROR(__xludf.DUMMYFUNCTION("IMPORTRANGE(""https://docs.google.com/spreadsheets/d/1Yj_ptqi66GCucihVvJfMjLAmec39IyEx_6qawtMGysU/edit?usp=sharing"",""สบก!DM62"")"),457246.99)</f>
        <v>457246.99</v>
      </c>
      <c r="O333" s="169">
        <f ca="1">IF(L333&gt;0,N333*100/L333,0)</f>
        <v>51.192005150022389</v>
      </c>
      <c r="P333" s="169">
        <f ca="1">IF(M333&gt;0,N333*100/M333,0)</f>
        <v>71.365670896349357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IFERROR(__xludf.DUMMYFUNCTION("IMPORTRANGE(""https://docs.google.com/spreadsheets/d/1Yj_ptqi66GCucihVvJfMjLAmec39IyEx_6qawtMGysU/edit?usp=sharing"",""สบก!DH62"")"),470000)</f>
        <v>470000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IFERROR(__xludf.DUMMYFUNCTION("IMPORTRANGE(""https://docs.google.com/spreadsheets/d/1Yj_ptqi66GCucihVvJfMjLAmec39IyEx_6qawtMGysU/edit?usp=sharing"",""สบก!DI62"")"),423200)</f>
        <v>423200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IFERROR(__xludf.DUMMYFUNCTION("IMPORTRANGE(""https://docs.google.com/spreadsheets/d/1Yj_ptqi66GCucihVvJfMjLAmec39IyEx_6qawtMGysU/edit?usp=sharing"",""สบก!DJ62"")"),27000)</f>
        <v>27000</v>
      </c>
      <c r="M337" s="49">
        <f ca="1">L337</f>
        <v>27000</v>
      </c>
      <c r="N337" s="49">
        <f ca="1">IFERROR(__xludf.DUMMYFUNCTION("IMPORTRANGE(""https://docs.google.com/spreadsheets/d/1Yj_ptqi66GCucihVvJfMjLAmec39IyEx_6qawtMGysU/edit?usp=sharing"",""สบก!DN62"")"),27000)</f>
        <v>27000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IFERROR(__xludf.DUMMYFUNCTION("IMPORTRANGE(""https://docs.google.com/spreadsheets/d/1SX6NBoVAgQJ6U1MVXOaj8PK2l7WJ3RER9xtqwdhxkhw/edit?usp=sharing"",""ชลบุรี!I234"")"),0)</f>
        <v>0</v>
      </c>
      <c r="J339" s="188">
        <f ca="1">IFERROR(__xludf.DUMMYFUNCTION("IMPORTRANGE(""https://docs.google.com/spreadsheets/d/1SX6NBoVAgQJ6U1MVXOaj8PK2l7WJ3RER9xtqwdhxkhw/edit?usp=sharing"",""ชลบุรี!J234"")"),282)</f>
        <v>282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IFERROR(__xludf.DUMMYFUNCTION("IMPORTRANGE(""https://docs.google.com/spreadsheets/d/1SX6NBoVAgQJ6U1MVXOaj8PK2l7WJ3RER9xtqwdhxkhw/edit?usp=sharing"",""ชลบุรี!I235"")"),2700)</f>
        <v>2700</v>
      </c>
      <c r="J340" s="188">
        <f ca="1">IFERROR(__xludf.DUMMYFUNCTION("IMPORTRANGE(""https://docs.google.com/spreadsheets/d/1SX6NBoVAgQJ6U1MVXOaj8PK2l7WJ3RER9xtqwdhxkhw/edit?usp=sharing"",""ชลบุรี!J235"")"),3541.85999999999)</f>
        <v>3541.8599999999901</v>
      </c>
      <c r="K340" s="342">
        <f t="shared" ca="1" si="103"/>
        <v>131.17999999999964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IFERROR(__xludf.DUMMYFUNCTION("IMPORTRANGE(""https://docs.google.com/spreadsheets/d/1SX6NBoVAgQJ6U1MVXOaj8PK2l7WJ3RER9xtqwdhxkhw/edit?usp=sharing"",""ชลบุรี!I236"")"),190)</f>
        <v>190</v>
      </c>
      <c r="J341" s="188">
        <f ca="1">IFERROR(__xludf.DUMMYFUNCTION("IMPORTRANGE(""https://docs.google.com/spreadsheets/d/1SX6NBoVAgQJ6U1MVXOaj8PK2l7WJ3RER9xtqwdhxkhw/edit?usp=sharing"",""ชลบุรี!J236"")"),213)</f>
        <v>213</v>
      </c>
      <c r="K341" s="342">
        <f t="shared" ca="1" si="103"/>
        <v>112.10526315789474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IFERROR(__xludf.DUMMYFUNCTION("IMPORTRANGE(""https://docs.google.com/spreadsheets/d/1SX6NBoVAgQJ6U1MVXOaj8PK2l7WJ3RER9xtqwdhxkhw/edit?usp=sharing"",""ชลบุรี!I237"")"),0)</f>
        <v>0</v>
      </c>
      <c r="J342" s="188">
        <f ca="1">IFERROR(__xludf.DUMMYFUNCTION("IMPORTRANGE(""https://docs.google.com/spreadsheets/d/1SX6NBoVAgQJ6U1MVXOaj8PK2l7WJ3RER9xtqwdhxkhw/edit?usp=sharing"",""ชลบุรี!J237"")"),2376.49)</f>
        <v>2376.4899999999998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IFERROR(__xludf.DUMMYFUNCTION("IMPORTRANGE(""https://docs.google.com/spreadsheets/d/1SX6NBoVAgQJ6U1MVXOaj8PK2l7WJ3RER9xtqwdhxkhw/edit?usp=sharing"",""ชลบุรี!I238"")"),190)</f>
        <v>190</v>
      </c>
      <c r="J343" s="188">
        <f ca="1">IFERROR(__xludf.DUMMYFUNCTION("IMPORTRANGE(""https://docs.google.com/spreadsheets/d/1SX6NBoVAgQJ6U1MVXOaj8PK2l7WJ3RER9xtqwdhxkhw/edit?usp=sharing"",""ชลบุรี!J238"")"),0)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IFERROR(__xludf.DUMMYFUNCTION("IMPORTRANGE(""https://docs.google.com/spreadsheets/d/1SX6NBoVAgQJ6U1MVXOaj8PK2l7WJ3RER9xtqwdhxkhw/edit?usp=sharing"",""ชลบุรี!I239"")"),0)</f>
        <v>0</v>
      </c>
      <c r="J344" s="188">
        <f ca="1">IFERROR(__xludf.DUMMYFUNCTION("IMPORTRANGE(""https://docs.google.com/spreadsheets/d/1SX6NBoVAgQJ6U1MVXOaj8PK2l7WJ3RER9xtqwdhxkhw/edit?usp=sharing"",""ชลบุรี!J239"")"),0)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IFERROR(__xludf.DUMMYFUNCTION("IMPORTRANGE(""https://docs.google.com/spreadsheets/d/1SX6NBoVAgQJ6U1MVXOaj8PK2l7WJ3RER9xtqwdhxkhw/edit?usp=sharing"",""ชลบุรี!I240"")"),190)</f>
        <v>190</v>
      </c>
      <c r="J345" s="188">
        <f ca="1">IFERROR(__xludf.DUMMYFUNCTION("IMPORTRANGE(""https://docs.google.com/spreadsheets/d/1SX6NBoVAgQJ6U1MVXOaj8PK2l7WJ3RER9xtqwdhxkhw/edit?usp=sharing"",""ชลบุรี!J240"")"),183)</f>
        <v>183</v>
      </c>
      <c r="K345" s="342">
        <f t="shared" ca="1" si="103"/>
        <v>96.315789473684205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IFERROR(__xludf.DUMMYFUNCTION("IMPORTRANGE(""https://docs.google.com/spreadsheets/d/1SX6NBoVAgQJ6U1MVXOaj8PK2l7WJ3RER9xtqwdhxkhw/edit?usp=sharing"",""ชลบุรี!I241"")"),0)</f>
        <v>0</v>
      </c>
      <c r="J346" s="188">
        <f ca="1">IFERROR(__xludf.DUMMYFUNCTION("IMPORTRANGE(""https://docs.google.com/spreadsheets/d/1SX6NBoVAgQJ6U1MVXOaj8PK2l7WJ3RER9xtqwdhxkhw/edit?usp=sharing"",""ชลบุรี!J241"")"),2173.2)</f>
        <v>2173.1999999999998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IFERROR(__xludf.DUMMYFUNCTION("IMPORTRANGE(""https://docs.google.com/spreadsheets/d/1SX6NBoVAgQJ6U1MVXOaj8PK2l7WJ3RER9xtqwdhxkhw/edit?usp=sharing"",""ชลบุรี!L242"")"),1606534)</f>
        <v>1606534</v>
      </c>
      <c r="M347" s="358"/>
      <c r="N347" s="358">
        <f ca="1">IFERROR(__xludf.DUMMYFUNCTION("IMPORTRANGE(""https://docs.google.com/spreadsheets/d/1SX6NBoVAgQJ6U1MVXOaj8PK2l7WJ3RER9xtqwdhxkhw/edit?usp=sharing"",""ชลบุรี!M242"")"),304341.74)</f>
        <v>304341.74</v>
      </c>
      <c r="O347" s="358">
        <f ca="1">+IF(L347&gt;0,N347*100/L347,0)</f>
        <v>18.943996205495807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IFERROR(__xludf.DUMMYFUNCTION("IMPORTRANGE(""https://docs.google.com/spreadsheets/d/1SX6NBoVAgQJ6U1MVXOaj8PK2l7WJ3RER9xtqwdhxkhw/edit?usp=sharing"",""ชลบุรี!I244"")"),20)</f>
        <v>20</v>
      </c>
      <c r="J349" s="371">
        <f ca="1">IFERROR(__xludf.DUMMYFUNCTION("IMPORTRANGE(""https://docs.google.com/spreadsheets/d/1SX6NBoVAgQJ6U1MVXOaj8PK2l7WJ3RER9xtqwdhxkhw/edit?usp=sharing"",""ชลบุรี!J244"")"),0)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IFERROR(__xludf.DUMMYFUNCTION("IMPORTRANGE(""https://docs.google.com/spreadsheets/d/1SX6NBoVAgQJ6U1MVXOaj8PK2l7WJ3RER9xtqwdhxkhw/edit?usp=sharing"",""ชลบุรี!L244"")"),221120)</f>
        <v>221120</v>
      </c>
      <c r="M349" s="373"/>
      <c r="N349" s="373">
        <f ca="1">IFERROR(__xludf.DUMMYFUNCTION("IMPORTRANGE(""https://docs.google.com/spreadsheets/d/1SX6NBoVAgQJ6U1MVXOaj8PK2l7WJ3RER9xtqwdhxkhw/edit?usp=sharing"",""ชลบุรี!M244"")"),58673)</f>
        <v>58673</v>
      </c>
      <c r="O349" s="373">
        <f ca="1">+IF(L349&gt;0,N349*100/L349,0)</f>
        <v>26.534460926193923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IFERROR(__xludf.DUMMYFUNCTION("IMPORTRANGE(""https://docs.google.com/spreadsheets/d/1SX6NBoVAgQJ6U1MVXOaj8PK2l7WJ3RER9xtqwdhxkhw/edit?usp=sharing"",""ชลบุรี!I245"")"),20)</f>
        <v>20</v>
      </c>
      <c r="J350" s="371">
        <f ca="1">IFERROR(__xludf.DUMMYFUNCTION("IMPORTRANGE(""https://docs.google.com/spreadsheets/d/1SX6NBoVAgQJ6U1MVXOaj8PK2l7WJ3RER9xtqwdhxkhw/edit?usp=sharing"",""ชลบุรี!J245"")"),0)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IFERROR(__xludf.DUMMYFUNCTION("IMPORTRANGE(""https://docs.google.com/spreadsheets/d/1SX6NBoVAgQJ6U1MVXOaj8PK2l7WJ3RER9xtqwdhxkhw/edit?usp=sharing"",""ชลบุรี!L246"")"),0)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IFERROR(__xludf.DUMMYFUNCTION("IMPORTRANGE(""https://docs.google.com/spreadsheets/d/1SX6NBoVAgQJ6U1MVXOaj8PK2l7WJ3RER9xtqwdhxkhw/edit?usp=sharing"",""ชลบุรี!M246"")"),0)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IFERROR(__xludf.DUMMYFUNCTION("IMPORTRANGE(""https://docs.google.com/spreadsheets/d/1SX6NBoVAgQJ6U1MVXOaj8PK2l7WJ3RER9xtqwdhxkhw/edit?usp=sharing"",""ชลบุรี!L247"")"),221120)</f>
        <v>221120</v>
      </c>
      <c r="M352" s="165"/>
      <c r="N352" s="164">
        <f ca="1">IFERROR(__xludf.DUMMYFUNCTION("IMPORTRANGE(""https://docs.google.com/spreadsheets/d/1SX6NBoVAgQJ6U1MVXOaj8PK2l7WJ3RER9xtqwdhxkhw/edit?usp=sharing"",""ชลบุรี!M247"")"),58673)</f>
        <v>58673</v>
      </c>
      <c r="O352" s="165">
        <f t="shared" ca="1" si="105"/>
        <v>26.534460926193923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IFERROR(__xludf.DUMMYFUNCTION("IMPORTRANGE(""https://docs.google.com/spreadsheets/d/1SX6NBoVAgQJ6U1MVXOaj8PK2l7WJ3RER9xtqwdhxkhw/edit?usp=sharing"",""ชลบุรี!L248"")"),0)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IFERROR(__xludf.DUMMYFUNCTION("IMPORTRANGE(""https://docs.google.com/spreadsheets/d/1SX6NBoVAgQJ6U1MVXOaj8PK2l7WJ3RER9xtqwdhxkhw/edit?usp=sharing"",""ชลบุรี!M248"")"),0)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IFERROR(__xludf.DUMMYFUNCTION("IMPORTRANGE(""https://docs.google.com/spreadsheets/d/1SX6NBoVAgQJ6U1MVXOaj8PK2l7WJ3RER9xtqwdhxkhw/edit?usp=sharing"",""ชลบุรี!L249"")"),221120)</f>
        <v>221120</v>
      </c>
      <c r="M354" s="169"/>
      <c r="N354" s="168">
        <f ca="1">IFERROR(__xludf.DUMMYFUNCTION("IMPORTRANGE(""https://docs.google.com/spreadsheets/d/1SX6NBoVAgQJ6U1MVXOaj8PK2l7WJ3RER9xtqwdhxkhw/edit?usp=sharing"",""ชลบุรี!M249"")"),58673)</f>
        <v>58673</v>
      </c>
      <c r="O354" s="169">
        <f t="shared" ca="1" si="105"/>
        <v>26.534460926193923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IFERROR(__xludf.DUMMYFUNCTION("IMPORTRANGE(""https://docs.google.com/spreadsheets/d/1SX6NBoVAgQJ6U1MVXOaj8PK2l7WJ3RER9xtqwdhxkhw/edit?usp=sharing"",""ชลบุรี!M250"")"),0)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IFERROR(__xludf.DUMMYFUNCTION("IMPORTRANGE(""https://docs.google.com/spreadsheets/d/1SX6NBoVAgQJ6U1MVXOaj8PK2l7WJ3RER9xtqwdhxkhw/edit?usp=sharing"",""ชลบุรี!M251"")"),0)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IFERROR(__xludf.DUMMYFUNCTION("IMPORTRANGE(""https://docs.google.com/spreadsheets/d/1SX6NBoVAgQJ6U1MVXOaj8PK2l7WJ3RER9xtqwdhxkhw/edit?usp=sharing"",""ชลบุรี!M252"")"),54633)</f>
        <v>54633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IFERROR(__xludf.DUMMYFUNCTION("IMPORTRANGE(""https://docs.google.com/spreadsheets/d/1SX6NBoVAgQJ6U1MVXOaj8PK2l7WJ3RER9xtqwdhxkhw/edit?usp=sharing"",""ชลบุรี!M253"")"),4040)</f>
        <v>4040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IFERROR(__xludf.DUMMYFUNCTION("IMPORTRANGE(""https://docs.google.com/spreadsheets/d/1SX6NBoVAgQJ6U1MVXOaj8PK2l7WJ3RER9xtqwdhxkhw/edit?usp=sharing"",""ชลบุรี!J255"")"),1)</f>
        <v>1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IFERROR(__xludf.DUMMYFUNCTION("IMPORTRANGE(""https://docs.google.com/spreadsheets/d/1SX6NBoVAgQJ6U1MVXOaj8PK2l7WJ3RER9xtqwdhxkhw/edit?usp=sharing"",""ชลบุรี!J256"")"),0)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IFERROR(__xludf.DUMMYFUNCTION("IMPORTRANGE(""https://docs.google.com/spreadsheets/d/1SX6NBoVAgQJ6U1MVXOaj8PK2l7WJ3RER9xtqwdhxkhw/edit?usp=sharing"",""ชลบุรี!J257"")"),0)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IFERROR(__xludf.DUMMYFUNCTION("IMPORTRANGE(""https://docs.google.com/spreadsheets/d/1SX6NBoVAgQJ6U1MVXOaj8PK2l7WJ3RER9xtqwdhxkhw/edit?usp=sharing"",""ชลบุรี!J258"")"),0)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IFERROR(__xludf.DUMMYFUNCTION("IMPORTRANGE(""https://docs.google.com/spreadsheets/d/1SX6NBoVAgQJ6U1MVXOaj8PK2l7WJ3RER9xtqwdhxkhw/edit?usp=sharing"",""ชลบุรี!J166"")"),0)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IFERROR(__xludf.DUMMYFUNCTION("IMPORTRANGE(""https://docs.google.com/spreadsheets/d/1SX6NBoVAgQJ6U1MVXOaj8PK2l7WJ3RER9xtqwdhxkhw/edit?usp=sharing"",""ชลบุรี!J166"")"),0)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IFERROR(__xludf.DUMMYFUNCTION("IMPORTRANGE(""https://docs.google.com/spreadsheets/d/1SX6NBoVAgQJ6U1MVXOaj8PK2l7WJ3RER9xtqwdhxkhw/edit?usp=sharing"",""ชลบุรี!J166"")"),0)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IFERROR(__xludf.DUMMYFUNCTION("IMPORTRANGE(""https://docs.google.com/spreadsheets/d/1SX6NBoVAgQJ6U1MVXOaj8PK2l7WJ3RER9xtqwdhxkhw/edit?usp=sharing"",""ชลบุรี!J166"")"),0)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IFERROR(__xludf.DUMMYFUNCTION("IMPORTRANGE(""https://docs.google.com/spreadsheets/d/1SX6NBoVAgQJ6U1MVXOaj8PK2l7WJ3RER9xtqwdhxkhw/edit?usp=sharing"",""ชลบุรี!I263"")"),20)</f>
        <v>20</v>
      </c>
      <c r="J368" s="188">
        <f ca="1">IFERROR(__xludf.DUMMYFUNCTION("IMPORTRANGE(""https://docs.google.com/spreadsheets/d/1SX6NBoVAgQJ6U1MVXOaj8PK2l7WJ3RER9xtqwdhxkhw/edit?usp=sharing"",""ชลบุรี!J263"")"),0)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IFERROR(__xludf.DUMMYFUNCTION("IMPORTRANGE(""https://docs.google.com/spreadsheets/d/1SX6NBoVAgQJ6U1MVXOaj8PK2l7WJ3RER9xtqwdhxkhw/edit?usp=sharing"",""ชลบุรี!I164"")"),0)</f>
        <v>0</v>
      </c>
      <c r="J369" s="204">
        <f ca="1">IFERROR(__xludf.DUMMYFUNCTION("IMPORTRANGE(""https://docs.google.com/spreadsheets/d/1SX6NBoVAgQJ6U1MVXOaj8PK2l7WJ3RER9xtqwdhxkhw/edit?usp=sharing"",""ชลบุรี!J164"")"),0)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IFERROR(__xludf.DUMMYFUNCTION("IMPORTRANGE(""https://docs.google.com/spreadsheets/d/1SX6NBoVAgQJ6U1MVXOaj8PK2l7WJ3RER9xtqwdhxkhw/edit?usp=sharing"",""ชลบุรี!I265"")"),20)</f>
        <v>20</v>
      </c>
      <c r="J370" s="204">
        <f ca="1">IFERROR(__xludf.DUMMYFUNCTION("IMPORTRANGE(""https://docs.google.com/spreadsheets/d/1SX6NBoVAgQJ6U1MVXOaj8PK2l7WJ3RER9xtqwdhxkhw/edit?usp=sharing"",""ชลบุรี!J265"")"),0)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IFERROR(__xludf.DUMMYFUNCTION("IMPORTRANGE(""https://docs.google.com/spreadsheets/d/1SX6NBoVAgQJ6U1MVXOaj8PK2l7WJ3RER9xtqwdhxkhw/edit?usp=sharing"",""ชลบุรี!I164"")"),0)</f>
        <v>0</v>
      </c>
      <c r="J371" s="189">
        <f ca="1">IFERROR(__xludf.DUMMYFUNCTION("IMPORTRANGE(""https://docs.google.com/spreadsheets/d/1SX6NBoVAgQJ6U1MVXOaj8PK2l7WJ3RER9xtqwdhxkhw/edit?usp=sharing"",""ชลบุรี!J164"")"),0)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IFERROR(__xludf.DUMMYFUNCTION("IMPORTRANGE(""https://docs.google.com/spreadsheets/d/1SX6NBoVAgQJ6U1MVXOaj8PK2l7WJ3RER9xtqwdhxkhw/edit?usp=sharing"",""ชลบุรี!I267"")"),20)</f>
        <v>20</v>
      </c>
      <c r="J372" s="189">
        <f ca="1">IFERROR(__xludf.DUMMYFUNCTION("IMPORTRANGE(""https://docs.google.com/spreadsheets/d/1SX6NBoVAgQJ6U1MVXOaj8PK2l7WJ3RER9xtqwdhxkhw/edit?usp=sharing"",""ชลบุรี!J267"")"),0)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IFERROR(__xludf.DUMMYFUNCTION("IMPORTRANGE(""https://docs.google.com/spreadsheets/d/1SX6NBoVAgQJ6U1MVXOaj8PK2l7WJ3RER9xtqwdhxkhw/edit?usp=sharing"",""ชลบุรี!I164"")"),0)</f>
        <v>0</v>
      </c>
      <c r="J373" s="204">
        <f ca="1">IFERROR(__xludf.DUMMYFUNCTION("IMPORTRANGE(""https://docs.google.com/spreadsheets/d/1SX6NBoVAgQJ6U1MVXOaj8PK2l7WJ3RER9xtqwdhxkhw/edit?usp=sharing"",""ชลบุรี!J164"")"),0)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IFERROR(__xludf.DUMMYFUNCTION("IMPORTRANGE(""https://docs.google.com/spreadsheets/d/1SX6NBoVAgQJ6U1MVXOaj8PK2l7WJ3RER9xtqwdhxkhw/edit?usp=sharing"",""ชลบุรี!I164"")"),0)</f>
        <v>0</v>
      </c>
      <c r="J374" s="188">
        <f ca="1">IFERROR(__xludf.DUMMYFUNCTION("IMPORTRANGE(""https://docs.google.com/spreadsheets/d/1SX6NBoVAgQJ6U1MVXOaj8PK2l7WJ3RER9xtqwdhxkhw/edit?usp=sharing"",""ชลบุรี!J164"")"),0)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IFERROR(__xludf.DUMMYFUNCTION("IMPORTRANGE(""https://docs.google.com/spreadsheets/d/1SX6NBoVAgQJ6U1MVXOaj8PK2l7WJ3RER9xtqwdhxkhw/edit?usp=sharing"",""ชลบุรี!I270"")"),20)</f>
        <v>20</v>
      </c>
      <c r="J375" s="188">
        <f ca="1">IFERROR(__xludf.DUMMYFUNCTION("IMPORTRANGE(""https://docs.google.com/spreadsheets/d/1SX6NBoVAgQJ6U1MVXOaj8PK2l7WJ3RER9xtqwdhxkhw/edit?usp=sharing"",""ชลบุรี!J270"")"),0)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IFERROR(__xludf.DUMMYFUNCTION("IMPORTRANGE(""https://docs.google.com/spreadsheets/d/1SX6NBoVAgQJ6U1MVXOaj8PK2l7WJ3RER9xtqwdhxkhw/edit?usp=sharing"",""ชลบุรี!I271"")"),0)</f>
        <v>0</v>
      </c>
      <c r="J376" s="189">
        <f ca="1">IFERROR(__xludf.DUMMYFUNCTION("IMPORTRANGE(""https://docs.google.com/spreadsheets/d/1SX6NBoVAgQJ6U1MVXOaj8PK2l7WJ3RER9xtqwdhxkhw/edit?usp=sharing"",""ชลบุรี!J271"")"),0)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IFERROR(__xludf.DUMMYFUNCTION("IMPORTRANGE(""https://docs.google.com/spreadsheets/d/1SX6NBoVAgQJ6U1MVXOaj8PK2l7WJ3RER9xtqwdhxkhw/edit?usp=sharing"",""ชลบุรี!I272"")"),20)</f>
        <v>20</v>
      </c>
      <c r="J377" s="204">
        <f ca="1">IFERROR(__xludf.DUMMYFUNCTION("IMPORTRANGE(""https://docs.google.com/spreadsheets/d/1SX6NBoVAgQJ6U1MVXOaj8PK2l7WJ3RER9xtqwdhxkhw/edit?usp=sharing"",""ชลบุรี!J272"")"),0)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IFERROR(__xludf.DUMMYFUNCTION("IMPORTRANGE(""https://docs.google.com/spreadsheets/d/1SX6NBoVAgQJ6U1MVXOaj8PK2l7WJ3RER9xtqwdhxkhw/edit?usp=sharing"",""ชลบุรี!J273"")"),0)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IFERROR(__xludf.DUMMYFUNCTION("IMPORTRANGE(""https://docs.google.com/spreadsheets/d/1SX6NBoVAgQJ6U1MVXOaj8PK2l7WJ3RER9xtqwdhxkhw/edit?usp=sharing"",""ชลบุรี!J274"")"),0)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IFERROR(__xludf.DUMMYFUNCTION("IMPORTRANGE(""https://docs.google.com/spreadsheets/d/1SX6NBoVAgQJ6U1MVXOaj8PK2l7WJ3RER9xtqwdhxkhw/edit?usp=sharing"",""ชลบุรี!I275"")"),500)</f>
        <v>500</v>
      </c>
      <c r="J380" s="371">
        <f ca="1">IFERROR(__xludf.DUMMYFUNCTION("IMPORTRANGE(""https://docs.google.com/spreadsheets/d/1SX6NBoVAgQJ6U1MVXOaj8PK2l7WJ3RER9xtqwdhxkhw/edit?usp=sharing"",""ชลบุรี!J275"")"),0)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IFERROR(__xludf.DUMMYFUNCTION("IMPORTRANGE(""https://docs.google.com/spreadsheets/d/1SX6NBoVAgQJ6U1MVXOaj8PK2l7WJ3RER9xtqwdhxkhw/edit?usp=sharing"",""ชลบุรี!L275"")"),460140)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IFERROR(__xludf.DUMMYFUNCTION("IMPORTRANGE(""https://docs.google.com/spreadsheets/d/1SX6NBoVAgQJ6U1MVXOaj8PK2l7WJ3RER9xtqwdhxkhw/edit?usp=sharing"",""ชลบุรี!M275"")"),48823)</f>
        <v>48823</v>
      </c>
      <c r="O380" s="373">
        <f ca="1">+IF(L380&gt;0,N380*100/L380,0)</f>
        <v>10.610466379797453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IFERROR(__xludf.DUMMYFUNCTION("IMPORTRANGE(""https://docs.google.com/spreadsheets/d/1SX6NBoVAgQJ6U1MVXOaj8PK2l7WJ3RER9xtqwdhxkhw/edit?usp=sharing"",""ชลบุรี!I276"")"),50)</f>
        <v>50</v>
      </c>
      <c r="J381" s="371">
        <f ca="1">IFERROR(__xludf.DUMMYFUNCTION("IMPORTRANGE(""https://docs.google.com/spreadsheets/d/1SX6NBoVAgQJ6U1MVXOaj8PK2l7WJ3RER9xtqwdhxkhw/edit?usp=sharing"",""ชลบุรี!J276"")"),50)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IFERROR(__xludf.DUMMYFUNCTION("IMPORTRANGE(""https://docs.google.com/spreadsheets/d/1SX6NBoVAgQJ6U1MVXOaj8PK2l7WJ3RER9xtqwdhxkhw/edit?usp=sharing"",""ชลบุรี!L277"")"),0)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IFERROR(__xludf.DUMMYFUNCTION("IMPORTRANGE(""https://docs.google.com/spreadsheets/d/1SX6NBoVAgQJ6U1MVXOaj8PK2l7WJ3RER9xtqwdhxkhw/edit?usp=sharing"",""ชลบุรี!M277"")"),0)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IFERROR(__xludf.DUMMYFUNCTION("IMPORTRANGE(""https://docs.google.com/spreadsheets/d/1SX6NBoVAgQJ6U1MVXOaj8PK2l7WJ3RER9xtqwdhxkhw/edit?usp=sharing"",""ชลบุรี!L278"")"),460140)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IFERROR(__xludf.DUMMYFUNCTION("IMPORTRANGE(""https://docs.google.com/spreadsheets/d/1SX6NBoVAgQJ6U1MVXOaj8PK2l7WJ3RER9xtqwdhxkhw/edit?usp=sharing"",""ชลบุรี!M278"")"),48823)</f>
        <v>48823</v>
      </c>
      <c r="O383" s="165">
        <f t="shared" ca="1" si="109"/>
        <v>10.610466379797453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IFERROR(__xludf.DUMMYFUNCTION("IMPORTRANGE(""https://docs.google.com/spreadsheets/d/1SX6NBoVAgQJ6U1MVXOaj8PK2l7WJ3RER9xtqwdhxkhw/edit?usp=sharing"",""ชลบุรี!L279"")"),0)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IFERROR(__xludf.DUMMYFUNCTION("IMPORTRANGE(""https://docs.google.com/spreadsheets/d/1SX6NBoVAgQJ6U1MVXOaj8PK2l7WJ3RER9xtqwdhxkhw/edit?usp=sharing"",""ชลบุรี!M279"")"),0)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IFERROR(__xludf.DUMMYFUNCTION("IMPORTRANGE(""https://docs.google.com/spreadsheets/d/1SX6NBoVAgQJ6U1MVXOaj8PK2l7WJ3RER9xtqwdhxkhw/edit?usp=sharing"",""ชลบุรี!L280"")"),460140)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IFERROR(__xludf.DUMMYFUNCTION("IMPORTRANGE(""https://docs.google.com/spreadsheets/d/1SX6NBoVAgQJ6U1MVXOaj8PK2l7WJ3RER9xtqwdhxkhw/edit?usp=sharing"",""ชลบุรี!M280"")"),48823)</f>
        <v>48823</v>
      </c>
      <c r="O385" s="169">
        <f t="shared" ca="1" si="109"/>
        <v>10.610466379797453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IFERROR(__xludf.DUMMYFUNCTION("IMPORTRANGE(""https://docs.google.com/spreadsheets/d/1SX6NBoVAgQJ6U1MVXOaj8PK2l7WJ3RER9xtqwdhxkhw/edit?usp=sharing"",""ชลบุรี!M281"")"),37720)</f>
        <v>37720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IFERROR(__xludf.DUMMYFUNCTION("IMPORTRANGE(""https://docs.google.com/spreadsheets/d/1SX6NBoVAgQJ6U1MVXOaj8PK2l7WJ3RER9xtqwdhxkhw/edit?usp=sharing"",""ชลบุรี!M282"")"),0)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IFERROR(__xludf.DUMMYFUNCTION("IMPORTRANGE(""https://docs.google.com/spreadsheets/d/1SX6NBoVAgQJ6U1MVXOaj8PK2l7WJ3RER9xtqwdhxkhw/edit?usp=sharing"",""ชลบุรี!M283"")"),0)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IFERROR(__xludf.DUMMYFUNCTION("IMPORTRANGE(""https://docs.google.com/spreadsheets/d/1SX6NBoVAgQJ6U1MVXOaj8PK2l7WJ3RER9xtqwdhxkhw/edit?usp=sharing"",""ชลบุรี!M284"")"),11103)</f>
        <v>11103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IFERROR(__xludf.DUMMYFUNCTION("IMPORTRANGE(""https://docs.google.com/spreadsheets/d/1SX6NBoVAgQJ6U1MVXOaj8PK2l7WJ3RER9xtqwdhxkhw/edit?usp=sharing"",""ชลบุรี!J286"")"),0)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IFERROR(__xludf.DUMMYFUNCTION("IMPORTRANGE(""https://docs.google.com/spreadsheets/d/1SX6NBoVAgQJ6U1MVXOaj8PK2l7WJ3RER9xtqwdhxkhw/edit?usp=sharing"",""ชลบุรี!J287"")"),1)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IFERROR(__xludf.DUMMYFUNCTION("IMPORTRANGE(""https://docs.google.com/spreadsheets/d/1SX6NBoVAgQJ6U1MVXOaj8PK2l7WJ3RER9xtqwdhxkhw/edit?usp=sharing"",""ชลบุรี!J288"")"),1)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IFERROR(__xludf.DUMMYFUNCTION("IMPORTRANGE(""https://docs.google.com/spreadsheets/d/1SX6NBoVAgQJ6U1MVXOaj8PK2l7WJ3RER9xtqwdhxkhw/edit?usp=sharing"",""ชลบุรี!J289"")"),1)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IFERROR(__xludf.DUMMYFUNCTION("IMPORTRANGE(""https://docs.google.com/spreadsheets/d/1SX6NBoVAgQJ6U1MVXOaj8PK2l7WJ3RER9xtqwdhxkhw/edit?usp=sharing"",""ชลบุรี!I291"")"),50)</f>
        <v>50</v>
      </c>
      <c r="J396" s="198">
        <f ca="1">IFERROR(__xludf.DUMMYFUNCTION("IMPORTRANGE(""https://docs.google.com/spreadsheets/d/1SX6NBoVAgQJ6U1MVXOaj8PK2l7WJ3RER9xtqwdhxkhw/edit?usp=sharing"",""ชลบุรี!J291"")"),50)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IFERROR(__xludf.DUMMYFUNCTION("IMPORTRANGE(""https://docs.google.com/spreadsheets/d/1SX6NBoVAgQJ6U1MVXOaj8PK2l7WJ3RER9xtqwdhxkhw/edit?usp=sharing"",""ชลบุรี!I292"")"),500)</f>
        <v>500</v>
      </c>
      <c r="J397" s="198">
        <f ca="1">IFERROR(__xludf.DUMMYFUNCTION("IMPORTRANGE(""https://docs.google.com/spreadsheets/d/1SX6NBoVAgQJ6U1MVXOaj8PK2l7WJ3RER9xtqwdhxkhw/edit?usp=sharing"",""ชลบุรี!J292"")"),0)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IFERROR(__xludf.DUMMYFUNCTION("IMPORTRANGE(""https://docs.google.com/spreadsheets/d/1SX6NBoVAgQJ6U1MVXOaj8PK2l7WJ3RER9xtqwdhxkhw/edit?usp=sharing"",""ชลบุรี!I293"")"),50)</f>
        <v>50</v>
      </c>
      <c r="J398" s="198">
        <f ca="1">IFERROR(__xludf.DUMMYFUNCTION("IMPORTRANGE(""https://docs.google.com/spreadsheets/d/1SX6NBoVAgQJ6U1MVXOaj8PK2l7WJ3RER9xtqwdhxkhw/edit?usp=sharing"",""ชลบุรี!J293"")"),0)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IFERROR(__xludf.DUMMYFUNCTION("IMPORTRANGE(""https://docs.google.com/spreadsheets/d/1SX6NBoVAgQJ6U1MVXOaj8PK2l7WJ3RER9xtqwdhxkhw/edit?usp=sharing"",""ชลบุรี!J294"")"),0)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IFERROR(__xludf.DUMMYFUNCTION("IMPORTRANGE(""https://docs.google.com/spreadsheets/d/1SX6NBoVAgQJ6U1MVXOaj8PK2l7WJ3RER9xtqwdhxkhw/edit?usp=sharing"",""ชลบุรี!J295"")"),0)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IFERROR(__xludf.DUMMYFUNCTION("IMPORTRANGE(""https://docs.google.com/spreadsheets/d/1SX6NBoVAgQJ6U1MVXOaj8PK2l7WJ3RER9xtqwdhxkhw/edit?usp=sharing"",""ชลบุรี!I296"")"),90)</f>
        <v>90</v>
      </c>
      <c r="J401" s="371">
        <f ca="1">IFERROR(__xludf.DUMMYFUNCTION("IMPORTRANGE(""https://docs.google.com/spreadsheets/d/1SX6NBoVAgQJ6U1MVXOaj8PK2l7WJ3RER9xtqwdhxkhw/edit?usp=sharing"",""ชลบุรี!J296"")"),0)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IFERROR(__xludf.DUMMYFUNCTION("IMPORTRANGE(""https://docs.google.com/spreadsheets/d/1SX6NBoVAgQJ6U1MVXOaj8PK2l7WJ3RER9xtqwdhxkhw/edit?usp=sharing"",""ชลบุรี!L296"")"),101920)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IFERROR(__xludf.DUMMYFUNCTION("IMPORTRANGE(""https://docs.google.com/spreadsheets/d/1SX6NBoVAgQJ6U1MVXOaj8PK2l7WJ3RER9xtqwdhxkhw/edit?usp=sharing"",""ชลบุรี!M296"")"),25509)</f>
        <v>25509</v>
      </c>
      <c r="O401" s="373">
        <f ca="1">+IF(L401&gt;0,N401*100/L401,0)</f>
        <v>25.028453689167975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IFERROR(__xludf.DUMMYFUNCTION("IMPORTRANGE(""https://docs.google.com/spreadsheets/d/1SX6NBoVAgQJ6U1MVXOaj8PK2l7WJ3RER9xtqwdhxkhw/edit?usp=sharing"",""ชลบุรี!I297"")"),30)</f>
        <v>30</v>
      </c>
      <c r="J402" s="371">
        <f ca="1">IFERROR(__xludf.DUMMYFUNCTION("IMPORTRANGE(""https://docs.google.com/spreadsheets/d/1SX6NBoVAgQJ6U1MVXOaj8PK2l7WJ3RER9xtqwdhxkhw/edit?usp=sharing"",""ชลบุรี!J297"")"),30)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IFERROR(__xludf.DUMMYFUNCTION("IMPORTRANGE(""https://docs.google.com/spreadsheets/d/1SX6NBoVAgQJ6U1MVXOaj8PK2l7WJ3RER9xtqwdhxkhw/edit?usp=sharing"",""ชลบุรี!L298"")"),0)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IFERROR(__xludf.DUMMYFUNCTION("IMPORTRANGE(""https://docs.google.com/spreadsheets/d/1SX6NBoVAgQJ6U1MVXOaj8PK2l7WJ3RER9xtqwdhxkhw/edit?usp=sharing"",""ชลบุรี!M298"")"),0)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IFERROR(__xludf.DUMMYFUNCTION("IMPORTRANGE(""https://docs.google.com/spreadsheets/d/1SX6NBoVAgQJ6U1MVXOaj8PK2l7WJ3RER9xtqwdhxkhw/edit?usp=sharing"",""ชลบุรี!L299"")"),101920)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IFERROR(__xludf.DUMMYFUNCTION("IMPORTRANGE(""https://docs.google.com/spreadsheets/d/1SX6NBoVAgQJ6U1MVXOaj8PK2l7WJ3RER9xtqwdhxkhw/edit?usp=sharing"",""ชลบุรี!M299"")"),25509)</f>
        <v>25509</v>
      </c>
      <c r="O404" s="169">
        <f t="shared" ca="1" si="112"/>
        <v>25.028453689167975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IFERROR(__xludf.DUMMYFUNCTION("IMPORTRANGE(""https://docs.google.com/spreadsheets/d/1SX6NBoVAgQJ6U1MVXOaj8PK2l7WJ3RER9xtqwdhxkhw/edit?usp=sharing"",""ชลบุรี!L300"")"),0)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IFERROR(__xludf.DUMMYFUNCTION("IMPORTRANGE(""https://docs.google.com/spreadsheets/d/1SX6NBoVAgQJ6U1MVXOaj8PK2l7WJ3RER9xtqwdhxkhw/edit?usp=sharing"",""ชลบุรี!M300"")"),0)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IFERROR(__xludf.DUMMYFUNCTION("IMPORTRANGE(""https://docs.google.com/spreadsheets/d/1SX6NBoVAgQJ6U1MVXOaj8PK2l7WJ3RER9xtqwdhxkhw/edit?usp=sharing"",""ชลบุรี!L301"")"),101920)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IFERROR(__xludf.DUMMYFUNCTION("IMPORTRANGE(""https://docs.google.com/spreadsheets/d/1SX6NBoVAgQJ6U1MVXOaj8PK2l7WJ3RER9xtqwdhxkhw/edit?usp=sharing"",""ชลบุรี!M301"")"),25509)</f>
        <v>25509</v>
      </c>
      <c r="O406" s="169">
        <f t="shared" ca="1" si="112"/>
        <v>25.028453689167975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IFERROR(__xludf.DUMMYFUNCTION("IMPORTRANGE(""https://docs.google.com/spreadsheets/d/1SX6NBoVAgQJ6U1MVXOaj8PK2l7WJ3RER9xtqwdhxkhw/edit?usp=sharing"",""ชลบุรี!M302"")"),19529)</f>
        <v>19529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IFERROR(__xludf.DUMMYFUNCTION("IMPORTRANGE(""https://docs.google.com/spreadsheets/d/1SX6NBoVAgQJ6U1MVXOaj8PK2l7WJ3RER9xtqwdhxkhw/edit?usp=sharing"",""ชลบุรี!M303"")"),0)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IFERROR(__xludf.DUMMYFUNCTION("IMPORTRANGE(""https://docs.google.com/spreadsheets/d/1SX6NBoVAgQJ6U1MVXOaj8PK2l7WJ3RER9xtqwdhxkhw/edit?usp=sharing"",""ชลบุรี!M304"")"),0)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IFERROR(__xludf.DUMMYFUNCTION("IMPORTRANGE(""https://docs.google.com/spreadsheets/d/1SX6NBoVAgQJ6U1MVXOaj8PK2l7WJ3RER9xtqwdhxkhw/edit?usp=sharing"",""ชลบุรี!M305"")"),5980)</f>
        <v>5980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IFERROR(__xludf.DUMMYFUNCTION("IMPORTRANGE(""https://docs.google.com/spreadsheets/d/1SX6NBoVAgQJ6U1MVXOaj8PK2l7WJ3RER9xtqwdhxkhw/edit?usp=sharing"",""ชลบุรี!J307"")"),0)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IFERROR(__xludf.DUMMYFUNCTION("IMPORTRANGE(""https://docs.google.com/spreadsheets/d/1SX6NBoVAgQJ6U1MVXOaj8PK2l7WJ3RER9xtqwdhxkhw/edit?usp=sharing"",""ชลบุรี!J308"")"),1)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IFERROR(__xludf.DUMMYFUNCTION("IMPORTRANGE(""https://docs.google.com/spreadsheets/d/1SX6NBoVAgQJ6U1MVXOaj8PK2l7WJ3RER9xtqwdhxkhw/edit?usp=sharing"",""ชลบุรี!J309"")"),1)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IFERROR(__xludf.DUMMYFUNCTION("IMPORTRANGE(""https://docs.google.com/spreadsheets/d/1SX6NBoVAgQJ6U1MVXOaj8PK2l7WJ3RER9xtqwdhxkhw/edit?usp=sharing"",""ชลบุรี!J310"")"),1)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IFERROR(__xludf.DUMMYFUNCTION("IMPORTRANGE(""https://docs.google.com/spreadsheets/d/1SX6NBoVAgQJ6U1MVXOaj8PK2l7WJ3RER9xtqwdhxkhw/edit?usp=sharing"",""ชลบุรี!I311"")"),30)</f>
        <v>30</v>
      </c>
      <c r="J416" s="201">
        <f ca="1">IFERROR(__xludf.DUMMYFUNCTION("IMPORTRANGE(""https://docs.google.com/spreadsheets/d/1SX6NBoVAgQJ6U1MVXOaj8PK2l7WJ3RER9xtqwdhxkhw/edit?usp=sharing"",""ชลบุรี!J311"")"),30)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IFERROR(__xludf.DUMMYFUNCTION("IMPORTRANGE(""https://docs.google.com/spreadsheets/d/1SX6NBoVAgQJ6U1MVXOaj8PK2l7WJ3RER9xtqwdhxkhw/edit?usp=sharing"",""ชลบุรี!I312"")"),0)</f>
        <v>0</v>
      </c>
      <c r="J417" s="392">
        <f ca="1">IFERROR(__xludf.DUMMYFUNCTION("IMPORTRANGE(""https://docs.google.com/spreadsheets/d/1SX6NBoVAgQJ6U1MVXOaj8PK2l7WJ3RER9xtqwdhxkhw/edit?usp=sharing"",""ชลบุรี!J312"")"),0)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IFERROR(__xludf.DUMMYFUNCTION("IMPORTRANGE(""https://docs.google.com/spreadsheets/d/1SX6NBoVAgQJ6U1MVXOaj8PK2l7WJ3RER9xtqwdhxkhw/edit?usp=sharing"",""ชลบุรี!I313"")"),0)</f>
        <v>0</v>
      </c>
      <c r="J418" s="393">
        <f ca="1">IFERROR(__xludf.DUMMYFUNCTION("IMPORTRANGE(""https://docs.google.com/spreadsheets/d/1SX6NBoVAgQJ6U1MVXOaj8PK2l7WJ3RER9xtqwdhxkhw/edit?usp=sharing"",""ชลบุรี!J313"")"),0)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IFERROR(__xludf.DUMMYFUNCTION("IMPORTRANGE(""https://docs.google.com/spreadsheets/d/1SX6NBoVAgQJ6U1MVXOaj8PK2l7WJ3RER9xtqwdhxkhw/edit?usp=sharing"",""ชลบุรี!I314"")"),0)</f>
        <v>0</v>
      </c>
      <c r="J419" s="394">
        <f ca="1">IFERROR(__xludf.DUMMYFUNCTION("IMPORTRANGE(""https://docs.google.com/spreadsheets/d/1SX6NBoVAgQJ6U1MVXOaj8PK2l7WJ3RER9xtqwdhxkhw/edit?usp=sharing"",""ชลบุรี!J314"")"),0)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IFERROR(__xludf.DUMMYFUNCTION("IMPORTRANGE(""https://docs.google.com/spreadsheets/d/1SX6NBoVAgQJ6U1MVXOaj8PK2l7WJ3RER9xtqwdhxkhw/edit?usp=sharing"",""ชลบุรี!I315"")"),0)</f>
        <v>0</v>
      </c>
      <c r="J420" s="394">
        <f ca="1">IFERROR(__xludf.DUMMYFUNCTION("IMPORTRANGE(""https://docs.google.com/spreadsheets/d/1SX6NBoVAgQJ6U1MVXOaj8PK2l7WJ3RER9xtqwdhxkhw/edit?usp=sharing"",""ชลบุรี!J315"")"),0)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IFERROR(__xludf.DUMMYFUNCTION("IMPORTRANGE(""https://docs.google.com/spreadsheets/d/1SX6NBoVAgQJ6U1MVXOaj8PK2l7WJ3RER9xtqwdhxkhw/edit?usp=sharing"",""ชลบุรี!I316"")"),20)</f>
        <v>20</v>
      </c>
      <c r="J421" s="392">
        <f ca="1">IFERROR(__xludf.DUMMYFUNCTION("IMPORTRANGE(""https://docs.google.com/spreadsheets/d/1SX6NBoVAgQJ6U1MVXOaj8PK2l7WJ3RER9xtqwdhxkhw/edit?usp=sharing"",""ชลบุรี!J316"")"),20)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IFERROR(__xludf.DUMMYFUNCTION("IMPORTRANGE(""https://docs.google.com/spreadsheets/d/1SX6NBoVAgQJ6U1MVXOaj8PK2l7WJ3RER9xtqwdhxkhw/edit?usp=sharing"",""ชลบุรี!I317"")"),60)</f>
        <v>60</v>
      </c>
      <c r="J422" s="393">
        <f ca="1">IFERROR(__xludf.DUMMYFUNCTION("IMPORTRANGE(""https://docs.google.com/spreadsheets/d/1SX6NBoVAgQJ6U1MVXOaj8PK2l7WJ3RER9xtqwdhxkhw/edit?usp=sharing"",""ชลบุรี!J317"")"),0)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IFERROR(__xludf.DUMMYFUNCTION("IMPORTRANGE(""https://docs.google.com/spreadsheets/d/1SX6NBoVAgQJ6U1MVXOaj8PK2l7WJ3RER9xtqwdhxkhw/edit?usp=sharing"",""ชลบุรี!I318"")"),20)</f>
        <v>20</v>
      </c>
      <c r="J423" s="394">
        <f ca="1">IFERROR(__xludf.DUMMYFUNCTION("IMPORTRANGE(""https://docs.google.com/spreadsheets/d/1SX6NBoVAgQJ6U1MVXOaj8PK2l7WJ3RER9xtqwdhxkhw/edit?usp=sharing"",""ชลบุรี!J318"")"),20)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IFERROR(__xludf.DUMMYFUNCTION("IMPORTRANGE(""https://docs.google.com/spreadsheets/d/1SX6NBoVAgQJ6U1MVXOaj8PK2l7WJ3RER9xtqwdhxkhw/edit?usp=sharing"",""ชลบุรี!I319"")"),20)</f>
        <v>20</v>
      </c>
      <c r="J424" s="394">
        <f ca="1">IFERROR(__xludf.DUMMYFUNCTION("IMPORTRANGE(""https://docs.google.com/spreadsheets/d/1SX6NBoVAgQJ6U1MVXOaj8PK2l7WJ3RER9xtqwdhxkhw/edit?usp=sharing"",""ชลบุรี!J319"")"),20)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IFERROR(__xludf.DUMMYFUNCTION("IMPORTRANGE(""https://docs.google.com/spreadsheets/d/1SX6NBoVAgQJ6U1MVXOaj8PK2l7WJ3RER9xtqwdhxkhw/edit?usp=sharing"",""ชลบุรี!I320"")"),20)</f>
        <v>20</v>
      </c>
      <c r="J425" s="394">
        <f ca="1">IFERROR(__xludf.DUMMYFUNCTION("IMPORTRANGE(""https://docs.google.com/spreadsheets/d/1SX6NBoVAgQJ6U1MVXOaj8PK2l7WJ3RER9xtqwdhxkhw/edit?usp=sharing"",""ชลบุรี!J320"")"),20)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IFERROR(__xludf.DUMMYFUNCTION("IMPORTRANGE(""https://docs.google.com/spreadsheets/d/1SX6NBoVAgQJ6U1MVXOaj8PK2l7WJ3RER9xtqwdhxkhw/edit?usp=sharing"",""ชลบุรี!I321"")"),10)</f>
        <v>10</v>
      </c>
      <c r="J426" s="392">
        <f ca="1">IFERROR(__xludf.DUMMYFUNCTION("IMPORTRANGE(""https://docs.google.com/spreadsheets/d/1SX6NBoVAgQJ6U1MVXOaj8PK2l7WJ3RER9xtqwdhxkhw/edit?usp=sharing"",""ชลบุรี!J321"")"),10)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IFERROR(__xludf.DUMMYFUNCTION("IMPORTRANGE(""https://docs.google.com/spreadsheets/d/1SX6NBoVAgQJ6U1MVXOaj8PK2l7WJ3RER9xtqwdhxkhw/edit?usp=sharing"",""ชลบุรี!I322"")"),30)</f>
        <v>30</v>
      </c>
      <c r="J427" s="393">
        <f ca="1">IFERROR(__xludf.DUMMYFUNCTION("IMPORTRANGE(""https://docs.google.com/spreadsheets/d/1SX6NBoVAgQJ6U1MVXOaj8PK2l7WJ3RER9xtqwdhxkhw/edit?usp=sharing"",""ชลบุรี!J322"")"),0)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IFERROR(__xludf.DUMMYFUNCTION("IMPORTRANGE(""https://docs.google.com/spreadsheets/d/1SX6NBoVAgQJ6U1MVXOaj8PK2l7WJ3RER9xtqwdhxkhw/edit?usp=sharing"",""ชลบุรี!I323"")"),10)</f>
        <v>10</v>
      </c>
      <c r="J428" s="394">
        <f ca="1">IFERROR(__xludf.DUMMYFUNCTION("IMPORTRANGE(""https://docs.google.com/spreadsheets/d/1SX6NBoVAgQJ6U1MVXOaj8PK2l7WJ3RER9xtqwdhxkhw/edit?usp=sharing"",""ชลบุรี!J323"")"),10)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IFERROR(__xludf.DUMMYFUNCTION("IMPORTRANGE(""https://docs.google.com/spreadsheets/d/1SX6NBoVAgQJ6U1MVXOaj8PK2l7WJ3RER9xtqwdhxkhw/edit?usp=sharing"",""ชลบุรี!I324"")"),10)</f>
        <v>10</v>
      </c>
      <c r="J429" s="394">
        <f ca="1">IFERROR(__xludf.DUMMYFUNCTION("IMPORTRANGE(""https://docs.google.com/spreadsheets/d/1SX6NBoVAgQJ6U1MVXOaj8PK2l7WJ3RER9xtqwdhxkhw/edit?usp=sharing"",""ชลบุรี!J324"")"),10)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IFERROR(__xludf.DUMMYFUNCTION("IMPORTRANGE(""https://docs.google.com/spreadsheets/d/1SX6NBoVAgQJ6U1MVXOaj8PK2l7WJ3RER9xtqwdhxkhw/edit?usp=sharing"",""ชลบุรี!I325"")"),20)</f>
        <v>20</v>
      </c>
      <c r="J430" s="392">
        <f ca="1">IFERROR(__xludf.DUMMYFUNCTION("IMPORTRANGE(""https://docs.google.com/spreadsheets/d/1SX6NBoVAgQJ6U1MVXOaj8PK2l7WJ3RER9xtqwdhxkhw/edit?usp=sharing"",""ชลบุรี!J325"")"),0)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IFERROR(__xludf.DUMMYFUNCTION("IMPORTRANGE(""https://docs.google.com/spreadsheets/d/1SX6NBoVAgQJ6U1MVXOaj8PK2l7WJ3RER9xtqwdhxkhw/edit?usp=sharing"",""ชลบุรี!I326"")"),0)</f>
        <v>0</v>
      </c>
      <c r="J431" s="394">
        <f ca="1">IFERROR(__xludf.DUMMYFUNCTION("IMPORTRANGE(""https://docs.google.com/spreadsheets/d/1SX6NBoVAgQJ6U1MVXOaj8PK2l7WJ3RER9xtqwdhxkhw/edit?usp=sharing"",""ชลบุรี!J326"")"),0)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IFERROR(__xludf.DUMMYFUNCTION("IMPORTRANGE(""https://docs.google.com/spreadsheets/d/1SX6NBoVAgQJ6U1MVXOaj8PK2l7WJ3RER9xtqwdhxkhw/edit?usp=sharing"",""ชลบุรี!I327"")"),20)</f>
        <v>20</v>
      </c>
      <c r="J432" s="394">
        <f ca="1">IFERROR(__xludf.DUMMYFUNCTION("IMPORTRANGE(""https://docs.google.com/spreadsheets/d/1SX6NBoVAgQJ6U1MVXOaj8PK2l7WJ3RER9xtqwdhxkhw/edit?usp=sharing"",""ชลบุรี!J327"")"),0)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IFERROR(__xludf.DUMMYFUNCTION("IMPORTRANGE(""https://docs.google.com/spreadsheets/d/1SX6NBoVAgQJ6U1MVXOaj8PK2l7WJ3RER9xtqwdhxkhw/edit?usp=sharing"",""ชลบุรี!J328"")"),0)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IFERROR(__xludf.DUMMYFUNCTION("IMPORTRANGE(""https://docs.google.com/spreadsheets/d/1SX6NBoVAgQJ6U1MVXOaj8PK2l7WJ3RER9xtqwdhxkhw/edit?usp=sharing"",""ชลบุรี!J329"")"),0)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IFERROR(__xludf.DUMMYFUNCTION("IMPORTRANGE(""https://docs.google.com/spreadsheets/d/1SX6NBoVAgQJ6U1MVXOaj8PK2l7WJ3RER9xtqwdhxkhw/edit?usp=sharing"",""ชลบุรี!I330"")"),15)</f>
        <v>15</v>
      </c>
      <c r="J435" s="410">
        <f ca="1">IFERROR(__xludf.DUMMYFUNCTION("IMPORTRANGE(""https://docs.google.com/spreadsheets/d/1SX6NBoVAgQJ6U1MVXOaj8PK2l7WJ3RER9xtqwdhxkhw/edit?usp=sharing"",""ชลบุรี!J330"")"),15)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IFERROR(__xludf.DUMMYFUNCTION("IMPORTRANGE(""https://docs.google.com/spreadsheets/d/1SX6NBoVAgQJ6U1MVXOaj8PK2l7WJ3RER9xtqwdhxkhw/edit?usp=sharing"",""ชลบุรี!L330"")"),88000)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IFERROR(__xludf.DUMMYFUNCTION("IMPORTRANGE(""https://docs.google.com/spreadsheets/d/1SX6NBoVAgQJ6U1MVXOaj8PK2l7WJ3RER9xtqwdhxkhw/edit?usp=sharing"",""ชลบุรี!M330"")"),72506.89)</f>
        <v>72506.89</v>
      </c>
      <c r="O435" s="412">
        <f t="shared" ref="O435:O439" ca="1" si="114">+IF(L435&gt;0,N435*100/L435,0)</f>
        <v>82.394193181818181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IFERROR(__xludf.DUMMYFUNCTION("IMPORTRANGE(""https://docs.google.com/spreadsheets/d/1SX6NBoVAgQJ6U1MVXOaj8PK2l7WJ3RER9xtqwdhxkhw/edit?usp=sharing"",""ชลบุรี!L331"")"),0)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IFERROR(__xludf.DUMMYFUNCTION("IMPORTRANGE(""https://docs.google.com/spreadsheets/d/1SX6NBoVAgQJ6U1MVXOaj8PK2l7WJ3RER9xtqwdhxkhw/edit?usp=sharing"",""ชลบุรี!M331"")"),0)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IFERROR(__xludf.DUMMYFUNCTION("IMPORTRANGE(""https://docs.google.com/spreadsheets/d/1SX6NBoVAgQJ6U1MVXOaj8PK2l7WJ3RER9xtqwdhxkhw/edit?usp=sharing"",""ชลบุรี!L332"")"),88000)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IFERROR(__xludf.DUMMYFUNCTION("IMPORTRANGE(""https://docs.google.com/spreadsheets/d/1SX6NBoVAgQJ6U1MVXOaj8PK2l7WJ3RER9xtqwdhxkhw/edit?usp=sharing"",""ชลบุรี!M332"")"),72506.89)</f>
        <v>72506.89</v>
      </c>
      <c r="O437" s="169">
        <f t="shared" ca="1" si="114"/>
        <v>82.394193181818181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IFERROR(__xludf.DUMMYFUNCTION("IMPORTRANGE(""https://docs.google.com/spreadsheets/d/1SX6NBoVAgQJ6U1MVXOaj8PK2l7WJ3RER9xtqwdhxkhw/edit?usp=sharing"",""ชลบุรี!L333"")"),0)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IFERROR(__xludf.DUMMYFUNCTION("IMPORTRANGE(""https://docs.google.com/spreadsheets/d/1SX6NBoVAgQJ6U1MVXOaj8PK2l7WJ3RER9xtqwdhxkhw/edit?usp=sharing"",""ชลบุรี!M333"")"),0)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IFERROR(__xludf.DUMMYFUNCTION("IMPORTRANGE(""https://docs.google.com/spreadsheets/d/1SX6NBoVAgQJ6U1MVXOaj8PK2l7WJ3RER9xtqwdhxkhw/edit?usp=sharing"",""ชลบุรี!L334"")"),88000)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IFERROR(__xludf.DUMMYFUNCTION("IMPORTRANGE(""https://docs.google.com/spreadsheets/d/1SX6NBoVAgQJ6U1MVXOaj8PK2l7WJ3RER9xtqwdhxkhw/edit?usp=sharing"",""ชลบุรี!M334"")"),72506.89)</f>
        <v>72506.89</v>
      </c>
      <c r="O439" s="169">
        <f t="shared" ca="1" si="114"/>
        <v>82.394193181818181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IFERROR(__xludf.DUMMYFUNCTION("IMPORTRANGE(""https://docs.google.com/spreadsheets/d/1SX6NBoVAgQJ6U1MVXOaj8PK2l7WJ3RER9xtqwdhxkhw/edit?usp=sharing"",""ชลบุรี!M335"")"),64599)</f>
        <v>64599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IFERROR(__xludf.DUMMYFUNCTION("IMPORTRANGE(""https://docs.google.com/spreadsheets/d/1SX6NBoVAgQJ6U1MVXOaj8PK2l7WJ3RER9xtqwdhxkhw/edit?usp=sharing"",""ชลบุรี!M336"")"),0)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IFERROR(__xludf.DUMMYFUNCTION("IMPORTRANGE(""https://docs.google.com/spreadsheets/d/1SX6NBoVAgQJ6U1MVXOaj8PK2l7WJ3RER9xtqwdhxkhw/edit?usp=sharing"",""ชลบุรี!M337"")"),0)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IFERROR(__xludf.DUMMYFUNCTION("IMPORTRANGE(""https://docs.google.com/spreadsheets/d/1SX6NBoVAgQJ6U1MVXOaj8PK2l7WJ3RER9xtqwdhxkhw/edit?usp=sharing"",""ชลบุรี!M338"")"),7907.89)</f>
        <v>7907.89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IFERROR(__xludf.DUMMYFUNCTION("IMPORTRANGE(""https://docs.google.com/spreadsheets/d/1SX6NBoVAgQJ6U1MVXOaj8PK2l7WJ3RER9xtqwdhxkhw/edit?usp=sharing"",""ชลบุรี!J340"")"),0)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IFERROR(__xludf.DUMMYFUNCTION("IMPORTRANGE(""https://docs.google.com/spreadsheets/d/1SX6NBoVAgQJ6U1MVXOaj8PK2l7WJ3RER9xtqwdhxkhw/edit?usp=sharing"",""ชลบุรี!J341"")"),1)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IFERROR(__xludf.DUMMYFUNCTION("IMPORTRANGE(""https://docs.google.com/spreadsheets/d/1SX6NBoVAgQJ6U1MVXOaj8PK2l7WJ3RER9xtqwdhxkhw/edit?usp=sharing"",""ชลบุรี!J342"")"),1)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IFERROR(__xludf.DUMMYFUNCTION("IMPORTRANGE(""https://docs.google.com/spreadsheets/d/1SX6NBoVAgQJ6U1MVXOaj8PK2l7WJ3RER9xtqwdhxkhw/edit?usp=sharing"",""ชลบุรี!J343"")"),1)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IFERROR(__xludf.DUMMYFUNCTION("IMPORTRANGE(""https://docs.google.com/spreadsheets/d/1SX6NBoVAgQJ6U1MVXOaj8PK2l7WJ3RER9xtqwdhxkhw/edit?usp=sharing"",""ชลบุรี!I344"")"),15)</f>
        <v>15</v>
      </c>
      <c r="J449" s="201">
        <f ca="1">IFERROR(__xludf.DUMMYFUNCTION("IMPORTRANGE(""https://docs.google.com/spreadsheets/d/1SX6NBoVAgQJ6U1MVXOaj8PK2l7WJ3RER9xtqwdhxkhw/edit?usp=sharing"",""ชลบุรี!J344"")"),15)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IFERROR(__xludf.DUMMYFUNCTION("IMPORTRANGE(""https://docs.google.com/spreadsheets/d/1SX6NBoVAgQJ6U1MVXOaj8PK2l7WJ3RER9xtqwdhxkhw/edit?usp=sharing"",""ชลบุรี!I345"")"),15)</f>
        <v>15</v>
      </c>
      <c r="J450" s="189">
        <f ca="1">IFERROR(__xludf.DUMMYFUNCTION("IMPORTRANGE(""https://docs.google.com/spreadsheets/d/1SX6NBoVAgQJ6U1MVXOaj8PK2l7WJ3RER9xtqwdhxkhw/edit?usp=sharing"",""ชลบุรี!J345"")"),15)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IFERROR(__xludf.DUMMYFUNCTION("IMPORTRANGE(""https://docs.google.com/spreadsheets/d/1SX6NBoVAgQJ6U1MVXOaj8PK2l7WJ3RER9xtqwdhxkhw/edit?usp=sharing"",""ชลบุรี!I346"")"),0)</f>
        <v>0</v>
      </c>
      <c r="J451" s="188">
        <f ca="1">IFERROR(__xludf.DUMMYFUNCTION("IMPORTRANGE(""https://docs.google.com/spreadsheets/d/1SX6NBoVAgQJ6U1MVXOaj8PK2l7WJ3RER9xtqwdhxkhw/edit?usp=sharing"",""ชลบุรี!J346"")"),0)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IFERROR(__xludf.DUMMYFUNCTION("IMPORTRANGE(""https://docs.google.com/spreadsheets/d/1SX6NBoVAgQJ6U1MVXOaj8PK2l7WJ3RER9xtqwdhxkhw/edit?usp=sharing"",""ชลบุรี!I347"")"),0)</f>
        <v>0</v>
      </c>
      <c r="J452" s="188">
        <f ca="1">IFERROR(__xludf.DUMMYFUNCTION("IMPORTRANGE(""https://docs.google.com/spreadsheets/d/1SX6NBoVAgQJ6U1MVXOaj8PK2l7WJ3RER9xtqwdhxkhw/edit?usp=sharing"",""ชลบุรี!J347"")"),0)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IFERROR(__xludf.DUMMYFUNCTION("IMPORTRANGE(""https://docs.google.com/spreadsheets/d/1SX6NBoVAgQJ6U1MVXOaj8PK2l7WJ3RER9xtqwdhxkhw/edit?usp=sharing"",""ชลบุรี!J348"")"),0)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IFERROR(__xludf.DUMMYFUNCTION("IMPORTRANGE(""https://docs.google.com/spreadsheets/d/1SX6NBoVAgQJ6U1MVXOaj8PK2l7WJ3RER9xtqwdhxkhw/edit?usp=sharing"",""ชลบุรี!J349"")"),0)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IFERROR(__xludf.DUMMYFUNCTION("IMPORTRANGE(""https://docs.google.com/spreadsheets/d/1SX6NBoVAgQJ6U1MVXOaj8PK2l7WJ3RER9xtqwdhxkhw/edit?usp=sharing"",""ชลบุรี!I350"")"),71038)</f>
        <v>71038</v>
      </c>
      <c r="J455" s="371">
        <f ca="1">IFERROR(__xludf.DUMMYFUNCTION("IMPORTRANGE(""https://docs.google.com/spreadsheets/d/1SX6NBoVAgQJ6U1MVXOaj8PK2l7WJ3RER9xtqwdhxkhw/edit?usp=sharing"",""ชลบุรี!J350"")"),0)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IFERROR(__xludf.DUMMYFUNCTION("IMPORTRANGE(""https://docs.google.com/spreadsheets/d/1SX6NBoVAgQJ6U1MVXOaj8PK2l7WJ3RER9xtqwdhxkhw/edit?usp=sharing"",""ชลบุรี!L350"")"),577044)</f>
        <v>577044</v>
      </c>
      <c r="M455" s="373"/>
      <c r="N455" s="373">
        <f ca="1">IFERROR(__xludf.DUMMYFUNCTION("IMPORTRANGE(""https://docs.google.com/spreadsheets/d/1SX6NBoVAgQJ6U1MVXOaj8PK2l7WJ3RER9xtqwdhxkhw/edit?usp=sharing"",""ชลบุรี!M350"")"),58428)</f>
        <v>58428</v>
      </c>
      <c r="O455" s="373">
        <f t="shared" ref="O455:O459" ca="1" si="116">+IF(L455&gt;0,N455*100/L455,0)</f>
        <v>10.125397716638593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IFERROR(__xludf.DUMMYFUNCTION("IMPORTRANGE(""https://docs.google.com/spreadsheets/d/1SX6NBoVAgQJ6U1MVXOaj8PK2l7WJ3RER9xtqwdhxkhw/edit?usp=sharing"",""ชลบุรี!L351"")"),0)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IFERROR(__xludf.DUMMYFUNCTION("IMPORTRANGE(""https://docs.google.com/spreadsheets/d/1SX6NBoVAgQJ6U1MVXOaj8PK2l7WJ3RER9xtqwdhxkhw/edit?usp=sharing"",""ชลบุรี!M351"")"),0)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IFERROR(__xludf.DUMMYFUNCTION("IMPORTRANGE(""https://docs.google.com/spreadsheets/d/1SX6NBoVAgQJ6U1MVXOaj8PK2l7WJ3RER9xtqwdhxkhw/edit?usp=sharing"",""ชลบุรี!L352"")"),577044)</f>
        <v>577044</v>
      </c>
      <c r="M457" s="165"/>
      <c r="N457" s="169">
        <f ca="1">IFERROR(__xludf.DUMMYFUNCTION("IMPORTRANGE(""https://docs.google.com/spreadsheets/d/1SX6NBoVAgQJ6U1MVXOaj8PK2l7WJ3RER9xtqwdhxkhw/edit?usp=sharing"",""ชลบุรี!M352"")"),58428)</f>
        <v>58428</v>
      </c>
      <c r="O457" s="169">
        <f t="shared" ca="1" si="116"/>
        <v>10.125397716638593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IFERROR(__xludf.DUMMYFUNCTION("IMPORTRANGE(""https://docs.google.com/spreadsheets/d/1SX6NBoVAgQJ6U1MVXOaj8PK2l7WJ3RER9xtqwdhxkhw/edit?usp=sharing"",""ชลบุรี!L353"")"),0)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IFERROR(__xludf.DUMMYFUNCTION("IMPORTRANGE(""https://docs.google.com/spreadsheets/d/1SX6NBoVAgQJ6U1MVXOaj8PK2l7WJ3RER9xtqwdhxkhw/edit?usp=sharing"",""ชลบุรี!M353"")"),0)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IFERROR(__xludf.DUMMYFUNCTION("IMPORTRANGE(""https://docs.google.com/spreadsheets/d/1SX6NBoVAgQJ6U1MVXOaj8PK2l7WJ3RER9xtqwdhxkhw/edit?usp=sharing"",""ชลบุรี!L354"")"),577044)</f>
        <v>577044</v>
      </c>
      <c r="M459" s="169"/>
      <c r="N459" s="169">
        <f ca="1">IFERROR(__xludf.DUMMYFUNCTION("IMPORTRANGE(""https://docs.google.com/spreadsheets/d/1SX6NBoVAgQJ6U1MVXOaj8PK2l7WJ3RER9xtqwdhxkhw/edit?usp=sharing"",""ชลบุรี!M354"")"),58428)</f>
        <v>58428</v>
      </c>
      <c r="O459" s="169">
        <f t="shared" ca="1" si="116"/>
        <v>10.125397716638593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IFERROR(__xludf.DUMMYFUNCTION("IMPORTRANGE(""https://docs.google.com/spreadsheets/d/1SX6NBoVAgQJ6U1MVXOaj8PK2l7WJ3RER9xtqwdhxkhw/edit?usp=sharing"",""ชลบุรี!M355"")"),0)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IFERROR(__xludf.DUMMYFUNCTION("IMPORTRANGE(""https://docs.google.com/spreadsheets/d/1SX6NBoVAgQJ6U1MVXOaj8PK2l7WJ3RER9xtqwdhxkhw/edit?usp=sharing"",""ชลบุรี!M356"")"),0)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IFERROR(__xludf.DUMMYFUNCTION("IMPORTRANGE(""https://docs.google.com/spreadsheets/d/1SX6NBoVAgQJ6U1MVXOaj8PK2l7WJ3RER9xtqwdhxkhw/edit?usp=sharing"",""ชลบุรี!M357"")"),22000)</f>
        <v>22000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IFERROR(__xludf.DUMMYFUNCTION("IMPORTRANGE(""https://docs.google.com/spreadsheets/d/1SX6NBoVAgQJ6U1MVXOaj8PK2l7WJ3RER9xtqwdhxkhw/edit?usp=sharing"",""ชลบุรี!M358"")"),36428)</f>
        <v>36428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IFERROR(__xludf.DUMMYFUNCTION("IMPORTRANGE(""https://docs.google.com/spreadsheets/d/1SX6NBoVAgQJ6U1MVXOaj8PK2l7WJ3RER9xtqwdhxkhw/edit?usp=sharing"",""ชลบุรี!I359"")"),71038)</f>
        <v>71038</v>
      </c>
      <c r="J464" s="267">
        <f ca="1">IFERROR(__xludf.DUMMYFUNCTION("IMPORTRANGE(""https://docs.google.com/spreadsheets/d/1SX6NBoVAgQJ6U1MVXOaj8PK2l7WJ3RER9xtqwdhxkhw/edit?usp=sharing"",""ชลบุรี!J359"")"),0)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IFERROR(__xludf.DUMMYFUNCTION("IMPORTRANGE(""https://docs.google.com/spreadsheets/d/1SX6NBoVAgQJ6U1MVXOaj8PK2l7WJ3RER9xtqwdhxkhw/edit?usp=sharing"",""ชลบุรี!I360"")"),71038)</f>
        <v>71038</v>
      </c>
      <c r="J465" s="420">
        <f ca="1">IFERROR(__xludf.DUMMYFUNCTION("IMPORTRANGE(""https://docs.google.com/spreadsheets/d/1SX6NBoVAgQJ6U1MVXOaj8PK2l7WJ3RER9xtqwdhxkhw/edit?usp=sharing"",""ชลบุรี!J360"")"),60803)</f>
        <v>60803</v>
      </c>
      <c r="K465" s="202">
        <f t="shared" ca="1" si="117"/>
        <v>85.592218249387656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IFERROR(__xludf.DUMMYFUNCTION("IMPORTRANGE(""https://docs.google.com/spreadsheets/d/1SX6NBoVAgQJ6U1MVXOaj8PK2l7WJ3RER9xtqwdhxkhw/edit?usp=sharing"",""ชลบุรี!I361"")"),5288)</f>
        <v>5288</v>
      </c>
      <c r="J466" s="420">
        <f ca="1">IFERROR(__xludf.DUMMYFUNCTION("IMPORTRANGE(""https://docs.google.com/spreadsheets/d/1SX6NBoVAgQJ6U1MVXOaj8PK2l7WJ3RER9xtqwdhxkhw/edit?usp=sharing"",""ชลบุรี!J361"")"),4627)</f>
        <v>4627</v>
      </c>
      <c r="K466" s="202">
        <f t="shared" ca="1" si="117"/>
        <v>87.5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IFERROR(__xludf.DUMMYFUNCTION("IMPORTRANGE(""https://docs.google.com/spreadsheets/d/1SX6NBoVAgQJ6U1MVXOaj8PK2l7WJ3RER9xtqwdhxkhw/edit?usp=sharing"",""ชลบุรี!I362"")"),0)</f>
        <v>0</v>
      </c>
      <c r="J467" s="189">
        <f ca="1">IFERROR(__xludf.DUMMYFUNCTION("IMPORTRANGE(""https://docs.google.com/spreadsheets/d/1SX6NBoVAgQJ6U1MVXOaj8PK2l7WJ3RER9xtqwdhxkhw/edit?usp=sharing"",""ชลบุรี!J362"")"),53723)</f>
        <v>53723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IFERROR(__xludf.DUMMYFUNCTION("IMPORTRANGE(""https://docs.google.com/spreadsheets/d/1SX6NBoVAgQJ6U1MVXOaj8PK2l7WJ3RER9xtqwdhxkhw/edit?usp=sharing"",""ชลบุรี!I363"")"),0)</f>
        <v>0</v>
      </c>
      <c r="J468" s="189">
        <f ca="1">IFERROR(__xludf.DUMMYFUNCTION("IMPORTRANGE(""https://docs.google.com/spreadsheets/d/1SX6NBoVAgQJ6U1MVXOaj8PK2l7WJ3RER9xtqwdhxkhw/edit?usp=sharing"",""ชลบุรี!J363"")"),4151)</f>
        <v>4151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IFERROR(__xludf.DUMMYFUNCTION("IMPORTRANGE(""https://docs.google.com/spreadsheets/d/1SX6NBoVAgQJ6U1MVXOaj8PK2l7WJ3RER9xtqwdhxkhw/edit?usp=sharing"",""ชลบุรี!I364"")"),0)</f>
        <v>0</v>
      </c>
      <c r="J469" s="189">
        <f ca="1">IFERROR(__xludf.DUMMYFUNCTION("IMPORTRANGE(""https://docs.google.com/spreadsheets/d/1SX6NBoVAgQJ6U1MVXOaj8PK2l7WJ3RER9xtqwdhxkhw/edit?usp=sharing"",""ชลบุรี!J364"")"),6502)</f>
        <v>6502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IFERROR(__xludf.DUMMYFUNCTION("IMPORTRANGE(""https://docs.google.com/spreadsheets/d/1SX6NBoVAgQJ6U1MVXOaj8PK2l7WJ3RER9xtqwdhxkhw/edit?usp=sharing"",""ชลบุรี!I365"")"),0)</f>
        <v>0</v>
      </c>
      <c r="J470" s="189">
        <f ca="1">IFERROR(__xludf.DUMMYFUNCTION("IMPORTRANGE(""https://docs.google.com/spreadsheets/d/1SX6NBoVAgQJ6U1MVXOaj8PK2l7WJ3RER9xtqwdhxkhw/edit?usp=sharing"",""ชลบุรี!J365"")"),425)</f>
        <v>425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IFERROR(__xludf.DUMMYFUNCTION("IMPORTRANGE(""https://docs.google.com/spreadsheets/d/1SX6NBoVAgQJ6U1MVXOaj8PK2l7WJ3RER9xtqwdhxkhw/edit?usp=sharing"",""ชลบุรี!I366"")"),0)</f>
        <v>0</v>
      </c>
      <c r="J471" s="189">
        <f ca="1">IFERROR(__xludf.DUMMYFUNCTION("IMPORTRANGE(""https://docs.google.com/spreadsheets/d/1SX6NBoVAgQJ6U1MVXOaj8PK2l7WJ3RER9xtqwdhxkhw/edit?usp=sharing"",""ชลบุรี!J366"")"),578)</f>
        <v>578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IFERROR(__xludf.DUMMYFUNCTION("IMPORTRANGE(""https://docs.google.com/spreadsheets/d/1SX6NBoVAgQJ6U1MVXOaj8PK2l7WJ3RER9xtqwdhxkhw/edit?usp=sharing"",""ชลบุรี!I367"")"),0)</f>
        <v>0</v>
      </c>
      <c r="J472" s="189">
        <f ca="1">IFERROR(__xludf.DUMMYFUNCTION("IMPORTRANGE(""https://docs.google.com/spreadsheets/d/1SX6NBoVAgQJ6U1MVXOaj8PK2l7WJ3RER9xtqwdhxkhw/edit?usp=sharing"",""ชลบุรี!J367"")"),51)</f>
        <v>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IFERROR(__xludf.DUMMYFUNCTION("IMPORTRANGE(""https://docs.google.com/spreadsheets/d/1SX6NBoVAgQJ6U1MVXOaj8PK2l7WJ3RER9xtqwdhxkhw/edit?usp=sharing"",""ชลบุรี!I368"")"),71038)</f>
        <v>71038</v>
      </c>
      <c r="J473" s="420">
        <f ca="1">IFERROR(__xludf.DUMMYFUNCTION("IMPORTRANGE(""https://docs.google.com/spreadsheets/d/1SX6NBoVAgQJ6U1MVXOaj8PK2l7WJ3RER9xtqwdhxkhw/edit?usp=sharing"",""ชลบุรี!J368"")"),71037.45)</f>
        <v>71037.45</v>
      </c>
      <c r="K473" s="202">
        <f t="shared" ca="1" si="117"/>
        <v>99.999225766491179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IFERROR(__xludf.DUMMYFUNCTION("IMPORTRANGE(""https://docs.google.com/spreadsheets/d/1SX6NBoVAgQJ6U1MVXOaj8PK2l7WJ3RER9xtqwdhxkhw/edit?usp=sharing"",""ชลบุรี!I369"")"),5288)</f>
        <v>5288</v>
      </c>
      <c r="J474" s="420">
        <f ca="1">IFERROR(__xludf.DUMMYFUNCTION("IMPORTRANGE(""https://docs.google.com/spreadsheets/d/1SX6NBoVAgQJ6U1MVXOaj8PK2l7WJ3RER9xtqwdhxkhw/edit?usp=sharing"",""ชลบุรี!J369"")"),5288)</f>
        <v>5288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IFERROR(__xludf.DUMMYFUNCTION("IMPORTRANGE(""https://docs.google.com/spreadsheets/d/1SX6NBoVAgQJ6U1MVXOaj8PK2l7WJ3RER9xtqwdhxkhw/edit?usp=sharing"",""ชลบุรี!I370"")"),0)</f>
        <v>0</v>
      </c>
      <c r="J475" s="189">
        <f ca="1">IFERROR(__xludf.DUMMYFUNCTION("IMPORTRANGE(""https://docs.google.com/spreadsheets/d/1SX6NBoVAgQJ6U1MVXOaj8PK2l7WJ3RER9xtqwdhxkhw/edit?usp=sharing"",""ชลบุรี!J370"")"),62571.45)</f>
        <v>62571.45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IFERROR(__xludf.DUMMYFUNCTION("IMPORTRANGE(""https://docs.google.com/spreadsheets/d/1SX6NBoVAgQJ6U1MVXOaj8PK2l7WJ3RER9xtqwdhxkhw/edit?usp=sharing"",""ชลบุรี!I371"")"),0)</f>
        <v>0</v>
      </c>
      <c r="J476" s="189">
        <f ca="1">IFERROR(__xludf.DUMMYFUNCTION("IMPORTRANGE(""https://docs.google.com/spreadsheets/d/1SX6NBoVAgQJ6U1MVXOaj8PK2l7WJ3RER9xtqwdhxkhw/edit?usp=sharing"",""ชลบุรี!J371"")"),4769)</f>
        <v>4769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IFERROR(__xludf.DUMMYFUNCTION("IMPORTRANGE(""https://docs.google.com/spreadsheets/d/1SX6NBoVAgQJ6U1MVXOaj8PK2l7WJ3RER9xtqwdhxkhw/edit?usp=sharing"",""ชลบุรี!I372"")"),0)</f>
        <v>0</v>
      </c>
      <c r="J477" s="189">
        <f ca="1">IFERROR(__xludf.DUMMYFUNCTION("IMPORTRANGE(""https://docs.google.com/spreadsheets/d/1SX6NBoVAgQJ6U1MVXOaj8PK2l7WJ3RER9xtqwdhxkhw/edit?usp=sharing"",""ชลบุรี!J372"")"),7888)</f>
        <v>7888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IFERROR(__xludf.DUMMYFUNCTION("IMPORTRANGE(""https://docs.google.com/spreadsheets/d/1SX6NBoVAgQJ6U1MVXOaj8PK2l7WJ3RER9xtqwdhxkhw/edit?usp=sharing"",""ชลบุรี!I373"")"),0)</f>
        <v>0</v>
      </c>
      <c r="J478" s="189">
        <f ca="1">IFERROR(__xludf.DUMMYFUNCTION("IMPORTRANGE(""https://docs.google.com/spreadsheets/d/1SX6NBoVAgQJ6U1MVXOaj8PK2l7WJ3RER9xtqwdhxkhw/edit?usp=sharing"",""ชลบุรี!J373"")"),468)</f>
        <v>468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IFERROR(__xludf.DUMMYFUNCTION("IMPORTRANGE(""https://docs.google.com/spreadsheets/d/1SX6NBoVAgQJ6U1MVXOaj8PK2l7WJ3RER9xtqwdhxkhw/edit?usp=sharing"",""ชลบุรี!I374"")"),0)</f>
        <v>0</v>
      </c>
      <c r="J479" s="189">
        <f ca="1">IFERROR(__xludf.DUMMYFUNCTION("IMPORTRANGE(""https://docs.google.com/spreadsheets/d/1SX6NBoVAgQJ6U1MVXOaj8PK2l7WJ3RER9xtqwdhxkhw/edit?usp=sharing"",""ชลบุรี!J374"")"),578)</f>
        <v>578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IFERROR(__xludf.DUMMYFUNCTION("IMPORTRANGE(""https://docs.google.com/spreadsheets/d/1SX6NBoVAgQJ6U1MVXOaj8PK2l7WJ3RER9xtqwdhxkhw/edit?usp=sharing"",""ชลบุรี!I375"")"),0)</f>
        <v>0</v>
      </c>
      <c r="J480" s="189">
        <f ca="1">IFERROR(__xludf.DUMMYFUNCTION("IMPORTRANGE(""https://docs.google.com/spreadsheets/d/1SX6NBoVAgQJ6U1MVXOaj8PK2l7WJ3RER9xtqwdhxkhw/edit?usp=sharing"",""ชลบุรี!J375"")"),51)</f>
        <v>51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IFERROR(__xludf.DUMMYFUNCTION("IMPORTRANGE(""https://docs.google.com/spreadsheets/d/1SX6NBoVAgQJ6U1MVXOaj8PK2l7WJ3RER9xtqwdhxkhw/edit?usp=sharing"",""ชลบุรี!I376"")"),71038)</f>
        <v>71038</v>
      </c>
      <c r="J481" s="420">
        <f ca="1">IFERROR(__xludf.DUMMYFUNCTION("IMPORTRANGE(""https://docs.google.com/spreadsheets/d/1SX6NBoVAgQJ6U1MVXOaj8PK2l7WJ3RER9xtqwdhxkhw/edit?usp=sharing"",""ชลบุรี!J376"")"),0)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IFERROR(__xludf.DUMMYFUNCTION("IMPORTRANGE(""https://docs.google.com/spreadsheets/d/1SX6NBoVAgQJ6U1MVXOaj8PK2l7WJ3RER9xtqwdhxkhw/edit?usp=sharing"",""ชลบุรี!I377"")"),5288)</f>
        <v>5288</v>
      </c>
      <c r="J482" s="420">
        <f ca="1">IFERROR(__xludf.DUMMYFUNCTION("IMPORTRANGE(""https://docs.google.com/spreadsheets/d/1SX6NBoVAgQJ6U1MVXOaj8PK2l7WJ3RER9xtqwdhxkhw/edit?usp=sharing"",""ชลบุรี!J377"")"),0)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IFERROR(__xludf.DUMMYFUNCTION("IMPORTRANGE(""https://docs.google.com/spreadsheets/d/1SX6NBoVAgQJ6U1MVXOaj8PK2l7WJ3RER9xtqwdhxkhw/edit?usp=sharing"",""ชลบุรี!I378"")"),0)</f>
        <v>0</v>
      </c>
      <c r="J483" s="189">
        <f ca="1">IFERROR(__xludf.DUMMYFUNCTION("IMPORTRANGE(""https://docs.google.com/spreadsheets/d/1SX6NBoVAgQJ6U1MVXOaj8PK2l7WJ3RER9xtqwdhxkhw/edit?usp=sharing"",""ชลบุรี!J378"")"),0)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IFERROR(__xludf.DUMMYFUNCTION("IMPORTRANGE(""https://docs.google.com/spreadsheets/d/1SX6NBoVAgQJ6U1MVXOaj8PK2l7WJ3RER9xtqwdhxkhw/edit?usp=sharing"",""ชลบุรี!I379"")"),0)</f>
        <v>0</v>
      </c>
      <c r="J484" s="189">
        <f ca="1">IFERROR(__xludf.DUMMYFUNCTION("IMPORTRANGE(""https://docs.google.com/spreadsheets/d/1SX6NBoVAgQJ6U1MVXOaj8PK2l7WJ3RER9xtqwdhxkhw/edit?usp=sharing"",""ชลบุรี!J379"")"),0)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IFERROR(__xludf.DUMMYFUNCTION("IMPORTRANGE(""https://docs.google.com/spreadsheets/d/1SX6NBoVAgQJ6U1MVXOaj8PK2l7WJ3RER9xtqwdhxkhw/edit?usp=sharing"",""ชลบุรี!I380"")"),0)</f>
        <v>0</v>
      </c>
      <c r="J485" s="189">
        <f ca="1">IFERROR(__xludf.DUMMYFUNCTION("IMPORTRANGE(""https://docs.google.com/spreadsheets/d/1SX6NBoVAgQJ6U1MVXOaj8PK2l7WJ3RER9xtqwdhxkhw/edit?usp=sharing"",""ชลบุรี!J380"")"),0)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IFERROR(__xludf.DUMMYFUNCTION("IMPORTRANGE(""https://docs.google.com/spreadsheets/d/1SX6NBoVAgQJ6U1MVXOaj8PK2l7WJ3RER9xtqwdhxkhw/edit?usp=sharing"",""ชลบุรี!I381"")"),0)</f>
        <v>0</v>
      </c>
      <c r="J486" s="189">
        <f ca="1">IFERROR(__xludf.DUMMYFUNCTION("IMPORTRANGE(""https://docs.google.com/spreadsheets/d/1SX6NBoVAgQJ6U1MVXOaj8PK2l7WJ3RER9xtqwdhxkhw/edit?usp=sharing"",""ชลบุรี!J381"")"),0)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IFERROR(__xludf.DUMMYFUNCTION("IMPORTRANGE(""https://docs.google.com/spreadsheets/d/1SX6NBoVAgQJ6U1MVXOaj8PK2l7WJ3RER9xtqwdhxkhw/edit?usp=sharing"",""ชลบุรี!I382"")"),0)</f>
        <v>0</v>
      </c>
      <c r="J487" s="420">
        <f ca="1">IFERROR(__xludf.DUMMYFUNCTION("IMPORTRANGE(""https://docs.google.com/spreadsheets/d/1SX6NBoVAgQJ6U1MVXOaj8PK2l7WJ3RER9xtqwdhxkhw/edit?usp=sharing"",""ชลบุรี!J382"")"),0)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IFERROR(__xludf.DUMMYFUNCTION("IMPORTRANGE(""https://docs.google.com/spreadsheets/d/1SX6NBoVAgQJ6U1MVXOaj8PK2l7WJ3RER9xtqwdhxkhw/edit?usp=sharing"",""ชลบุรี!I383"")"),0)</f>
        <v>0</v>
      </c>
      <c r="J488" s="420">
        <f ca="1">IFERROR(__xludf.DUMMYFUNCTION("IMPORTRANGE(""https://docs.google.com/spreadsheets/d/1SX6NBoVAgQJ6U1MVXOaj8PK2l7WJ3RER9xtqwdhxkhw/edit?usp=sharing"",""ชลบุรี!J383"")"),0)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IFERROR(__xludf.DUMMYFUNCTION("IMPORTRANGE(""https://docs.google.com/spreadsheets/d/1SX6NBoVAgQJ6U1MVXOaj8PK2l7WJ3RER9xtqwdhxkhw/edit?usp=sharing"",""ชลบุรี!I384"")"),0)</f>
        <v>0</v>
      </c>
      <c r="J489" s="189">
        <f ca="1">IFERROR(__xludf.DUMMYFUNCTION("IMPORTRANGE(""https://docs.google.com/spreadsheets/d/1SX6NBoVAgQJ6U1MVXOaj8PK2l7WJ3RER9xtqwdhxkhw/edit?usp=sharing"",""ชลบุรี!J384"")"),0)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IFERROR(__xludf.DUMMYFUNCTION("IMPORTRANGE(""https://docs.google.com/spreadsheets/d/1SX6NBoVAgQJ6U1MVXOaj8PK2l7WJ3RER9xtqwdhxkhw/edit?usp=sharing"",""ชลบุรี!I385"")"),0)</f>
        <v>0</v>
      </c>
      <c r="J490" s="189">
        <f ca="1">IFERROR(__xludf.DUMMYFUNCTION("IMPORTRANGE(""https://docs.google.com/spreadsheets/d/1SX6NBoVAgQJ6U1MVXOaj8PK2l7WJ3RER9xtqwdhxkhw/edit?usp=sharing"",""ชลบุรี!J385"")"),0)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IFERROR(__xludf.DUMMYFUNCTION("IMPORTRANGE(""https://docs.google.com/spreadsheets/d/1SX6NBoVAgQJ6U1MVXOaj8PK2l7WJ3RER9xtqwdhxkhw/edit?usp=sharing"",""ชลบุรี!I386"")"),0)</f>
        <v>0</v>
      </c>
      <c r="J491" s="189">
        <f ca="1">IFERROR(__xludf.DUMMYFUNCTION("IMPORTRANGE(""https://docs.google.com/spreadsheets/d/1SX6NBoVAgQJ6U1MVXOaj8PK2l7WJ3RER9xtqwdhxkhw/edit?usp=sharing"",""ชลบุรี!J386"")"),0)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IFERROR(__xludf.DUMMYFUNCTION("IMPORTRANGE(""https://docs.google.com/spreadsheets/d/1SX6NBoVAgQJ6U1MVXOaj8PK2l7WJ3RER9xtqwdhxkhw/edit?usp=sharing"",""ชลบุรี!I387"")"),0)</f>
        <v>0</v>
      </c>
      <c r="J492" s="189">
        <f ca="1">IFERROR(__xludf.DUMMYFUNCTION("IMPORTRANGE(""https://docs.google.com/spreadsheets/d/1SX6NBoVAgQJ6U1MVXOaj8PK2l7WJ3RER9xtqwdhxkhw/edit?usp=sharing"",""ชลบุรี!J387"")"),0)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IFERROR(__xludf.DUMMYFUNCTION("IMPORTRANGE(""https://docs.google.com/spreadsheets/d/1SX6NBoVAgQJ6U1MVXOaj8PK2l7WJ3RER9xtqwdhxkhw/edit?usp=sharing"",""ชลบุรี!I388"")"),0)</f>
        <v>0</v>
      </c>
      <c r="J493" s="189">
        <f ca="1">IFERROR(__xludf.DUMMYFUNCTION("IMPORTRANGE(""https://docs.google.com/spreadsheets/d/1SX6NBoVAgQJ6U1MVXOaj8PK2l7WJ3RER9xtqwdhxkhw/edit?usp=sharing"",""ชลบุรี!J388"")"),0)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IFERROR(__xludf.DUMMYFUNCTION("IMPORTRANGE(""https://docs.google.com/spreadsheets/d/1SX6NBoVAgQJ6U1MVXOaj8PK2l7WJ3RER9xtqwdhxkhw/edit?usp=sharing"",""ชลบุรี!I389"")"),0)</f>
        <v>0</v>
      </c>
      <c r="J494" s="436">
        <f ca="1">IFERROR(__xludf.DUMMYFUNCTION("IMPORTRANGE(""https://docs.google.com/spreadsheets/d/1SX6NBoVAgQJ6U1MVXOaj8PK2l7WJ3RER9xtqwdhxkhw/edit?usp=sharing"",""ชลบุรี!J389"")"),0)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IFERROR(__xludf.DUMMYFUNCTION("IMPORTRANGE(""https://docs.google.com/spreadsheets/d/1SX6NBoVAgQJ6U1MVXOaj8PK2l7WJ3RER9xtqwdhxkhw/edit?usp=sharing"",""ชลบุรี!I390"")"),0)</f>
        <v>0</v>
      </c>
      <c r="J495" s="436">
        <f ca="1">IFERROR(__xludf.DUMMYFUNCTION("IMPORTRANGE(""https://docs.google.com/spreadsheets/d/1SX6NBoVAgQJ6U1MVXOaj8PK2l7WJ3RER9xtqwdhxkhw/edit?usp=sharing"",""ชลบุรี!J390"")"),0)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IFERROR(__xludf.DUMMYFUNCTION("IMPORTRANGE(""https://docs.google.com/spreadsheets/d/1SX6NBoVAgQJ6U1MVXOaj8PK2l7WJ3RER9xtqwdhxkhw/edit?usp=sharing"",""ชลบุรี!I391"")"),0)</f>
        <v>0</v>
      </c>
      <c r="J496" s="436">
        <f ca="1">IFERROR(__xludf.DUMMYFUNCTION("IMPORTRANGE(""https://docs.google.com/spreadsheets/d/1SX6NBoVAgQJ6U1MVXOaj8PK2l7WJ3RER9xtqwdhxkhw/edit?usp=sharing"",""ชลบุรี!J391"")"),0)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IFERROR(__xludf.DUMMYFUNCTION("IMPORTRANGE(""https://docs.google.com/spreadsheets/d/1SX6NBoVAgQJ6U1MVXOaj8PK2l7WJ3RER9xtqwdhxkhw/edit?usp=sharing"",""ชลบุรี!I392"")"),1843)</f>
        <v>1843</v>
      </c>
      <c r="J497" s="443">
        <f ca="1">IFERROR(__xludf.DUMMYFUNCTION("IMPORTRANGE(""https://docs.google.com/spreadsheets/d/1SX6NBoVAgQJ6U1MVXOaj8PK2l7WJ3RER9xtqwdhxkhw/edit?usp=sharing"",""ชลบุรี!J392"")"),0)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IFERROR(__xludf.DUMMYFUNCTION("IMPORTRANGE(""https://docs.google.com/spreadsheets/d/1SX6NBoVAgQJ6U1MVXOaj8PK2l7WJ3RER9xtqwdhxkhw/edit?usp=sharing"",""ชลบุรี!I393"")"),1843)</f>
        <v>1843</v>
      </c>
      <c r="J498" s="420">
        <f ca="1">IFERROR(__xludf.DUMMYFUNCTION("IMPORTRANGE(""https://docs.google.com/spreadsheets/d/1SX6NBoVAgQJ6U1MVXOaj8PK2l7WJ3RER9xtqwdhxkhw/edit?usp=sharing"",""ชลบุรี!J393"")"),0)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IFERROR(__xludf.DUMMYFUNCTION("IMPORTRANGE(""https://docs.google.com/spreadsheets/d/1SX6NBoVAgQJ6U1MVXOaj8PK2l7WJ3RER9xtqwdhxkhw/edit?usp=sharing"",""ชลบุรี!I394"")"),118)</f>
        <v>118</v>
      </c>
      <c r="J499" s="420">
        <f ca="1">IFERROR(__xludf.DUMMYFUNCTION("IMPORTRANGE(""https://docs.google.com/spreadsheets/d/1SX6NBoVAgQJ6U1MVXOaj8PK2l7WJ3RER9xtqwdhxkhw/edit?usp=sharing"",""ชลบุรี!J394"")"),0)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IFERROR(__xludf.DUMMYFUNCTION("IMPORTRANGE(""https://docs.google.com/spreadsheets/d/1SX6NBoVAgQJ6U1MVXOaj8PK2l7WJ3RER9xtqwdhxkhw/edit?usp=sharing"",""ชลบุรี!I395"")"),0)</f>
        <v>0</v>
      </c>
      <c r="J500" s="162">
        <f ca="1">IFERROR(__xludf.DUMMYFUNCTION("IMPORTRANGE(""https://docs.google.com/spreadsheets/d/1SX6NBoVAgQJ6U1MVXOaj8PK2l7WJ3RER9xtqwdhxkhw/edit?usp=sharing"",""ชลบุรี!J395"")"),0)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IFERROR(__xludf.DUMMYFUNCTION("IMPORTRANGE(""https://docs.google.com/spreadsheets/d/1SX6NBoVAgQJ6U1MVXOaj8PK2l7WJ3RER9xtqwdhxkhw/edit?usp=sharing"",""ชลบุรี!I396"")"),0)</f>
        <v>0</v>
      </c>
      <c r="J501" s="162">
        <f ca="1">IFERROR(__xludf.DUMMYFUNCTION("IMPORTRANGE(""https://docs.google.com/spreadsheets/d/1SX6NBoVAgQJ6U1MVXOaj8PK2l7WJ3RER9xtqwdhxkhw/edit?usp=sharing"",""ชลบุรี!J396"")"),0)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IFERROR(__xludf.DUMMYFUNCTION("IMPORTRANGE(""https://docs.google.com/spreadsheets/d/1SX6NBoVAgQJ6U1MVXOaj8PK2l7WJ3RER9xtqwdhxkhw/edit?usp=sharing"",""ชลบุรี!I397"")"),0)</f>
        <v>0</v>
      </c>
      <c r="J502" s="189">
        <f ca="1">IFERROR(__xludf.DUMMYFUNCTION("IMPORTRANGE(""https://docs.google.com/spreadsheets/d/1SX6NBoVAgQJ6U1MVXOaj8PK2l7WJ3RER9xtqwdhxkhw/edit?usp=sharing"",""ชลบุรี!J397"")"),0)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IFERROR(__xludf.DUMMYFUNCTION("IMPORTRANGE(""https://docs.google.com/spreadsheets/d/1SX6NBoVAgQJ6U1MVXOaj8PK2l7WJ3RER9xtqwdhxkhw/edit?usp=sharing"",""ชลบุรี!I398"")"),0)</f>
        <v>0</v>
      </c>
      <c r="J503" s="198">
        <f ca="1">IFERROR(__xludf.DUMMYFUNCTION("IMPORTRANGE(""https://docs.google.com/spreadsheets/d/1SX6NBoVAgQJ6U1MVXOaj8PK2l7WJ3RER9xtqwdhxkhw/edit?usp=sharing"",""ชลบุรี!J398"")"),0)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IFERROR(__xludf.DUMMYFUNCTION("IMPORTRANGE(""https://docs.google.com/spreadsheets/d/1SX6NBoVAgQJ6U1MVXOaj8PK2l7WJ3RER9xtqwdhxkhw/edit?usp=sharing"",""ชลบุรี!I399"")"),0)</f>
        <v>0</v>
      </c>
      <c r="J504" s="189">
        <f ca="1">IFERROR(__xludf.DUMMYFUNCTION("IMPORTRANGE(""https://docs.google.com/spreadsheets/d/1SX6NBoVAgQJ6U1MVXOaj8PK2l7WJ3RER9xtqwdhxkhw/edit?usp=sharing"",""ชลบุรี!J399"")"),0)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IFERROR(__xludf.DUMMYFUNCTION("IMPORTRANGE(""https://docs.google.com/spreadsheets/d/1SX6NBoVAgQJ6U1MVXOaj8PK2l7WJ3RER9xtqwdhxkhw/edit?usp=sharing"",""ชลบุรี!I400"")"),0)</f>
        <v>0</v>
      </c>
      <c r="J505" s="198">
        <f ca="1">IFERROR(__xludf.DUMMYFUNCTION("IMPORTRANGE(""https://docs.google.com/spreadsheets/d/1SX6NBoVAgQJ6U1MVXOaj8PK2l7WJ3RER9xtqwdhxkhw/edit?usp=sharing"",""ชลบุรี!J400"")"),0)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IFERROR(__xludf.DUMMYFUNCTION("IMPORTRANGE(""https://docs.google.com/spreadsheets/d/1SX6NBoVAgQJ6U1MVXOaj8PK2l7WJ3RER9xtqwdhxkhw/edit?usp=sharing"",""ชลบุรี!I401"")"),0)</f>
        <v>0</v>
      </c>
      <c r="J506" s="189">
        <f ca="1">IFERROR(__xludf.DUMMYFUNCTION("IMPORTRANGE(""https://docs.google.com/spreadsheets/d/1SX6NBoVAgQJ6U1MVXOaj8PK2l7WJ3RER9xtqwdhxkhw/edit?usp=sharing"",""ชลบุรี!J401"")"),0)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IFERROR(__xludf.DUMMYFUNCTION("IMPORTRANGE(""https://docs.google.com/spreadsheets/d/1SX6NBoVAgQJ6U1MVXOaj8PK2l7WJ3RER9xtqwdhxkhw/edit?usp=sharing"",""ชลบุรี!I402"")"),0)</f>
        <v>0</v>
      </c>
      <c r="J507" s="198">
        <f ca="1">IFERROR(__xludf.DUMMYFUNCTION("IMPORTRANGE(""https://docs.google.com/spreadsheets/d/1SX6NBoVAgQJ6U1MVXOaj8PK2l7WJ3RER9xtqwdhxkhw/edit?usp=sharing"",""ชลบุรี!J402"")"),0)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IFERROR(__xludf.DUMMYFUNCTION("IMPORTRANGE(""https://docs.google.com/spreadsheets/d/1SX6NBoVAgQJ6U1MVXOaj8PK2l7WJ3RER9xtqwdhxkhw/edit?usp=sharing"",""ชลบุรี!I403"")"),0)</f>
        <v>0</v>
      </c>
      <c r="J508" s="162">
        <f ca="1">IFERROR(__xludf.DUMMYFUNCTION("IMPORTRANGE(""https://docs.google.com/spreadsheets/d/1SX6NBoVAgQJ6U1MVXOaj8PK2l7WJ3RER9xtqwdhxkhw/edit?usp=sharing"",""ชลบุรี!J403"")"),0)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IFERROR(__xludf.DUMMYFUNCTION("IMPORTRANGE(""https://docs.google.com/spreadsheets/d/1SX6NBoVAgQJ6U1MVXOaj8PK2l7WJ3RER9xtqwdhxkhw/edit?usp=sharing"",""ชลบุรี!I404"")"),0)</f>
        <v>0</v>
      </c>
      <c r="J509" s="162">
        <f ca="1">IFERROR(__xludf.DUMMYFUNCTION("IMPORTRANGE(""https://docs.google.com/spreadsheets/d/1SX6NBoVAgQJ6U1MVXOaj8PK2l7WJ3RER9xtqwdhxkhw/edit?usp=sharing"",""ชลบุรี!J404"")"),0)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IFERROR(__xludf.DUMMYFUNCTION("IMPORTRANGE(""https://docs.google.com/spreadsheets/d/1SX6NBoVAgQJ6U1MVXOaj8PK2l7WJ3RER9xtqwdhxkhw/edit?usp=sharing"",""ชลบุรี!I405"")"),0)</f>
        <v>0</v>
      </c>
      <c r="J510" s="198">
        <f ca="1">IFERROR(__xludf.DUMMYFUNCTION("IMPORTRANGE(""https://docs.google.com/spreadsheets/d/1SX6NBoVAgQJ6U1MVXOaj8PK2l7WJ3RER9xtqwdhxkhw/edit?usp=sharing"",""ชลบุรี!J405"")"),0)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IFERROR(__xludf.DUMMYFUNCTION("IMPORTRANGE(""https://docs.google.com/spreadsheets/d/1SX6NBoVAgQJ6U1MVXOaj8PK2l7WJ3RER9xtqwdhxkhw/edit?usp=sharing"",""ชลบุรี!I406"")"),0)</f>
        <v>0</v>
      </c>
      <c r="J511" s="198">
        <f ca="1">IFERROR(__xludf.DUMMYFUNCTION("IMPORTRANGE(""https://docs.google.com/spreadsheets/d/1SX6NBoVAgQJ6U1MVXOaj8PK2l7WJ3RER9xtqwdhxkhw/edit?usp=sharing"",""ชลบุรี!J406"")"),0)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IFERROR(__xludf.DUMMYFUNCTION("IMPORTRANGE(""https://docs.google.com/spreadsheets/d/1SX6NBoVAgQJ6U1MVXOaj8PK2l7WJ3RER9xtqwdhxkhw/edit?usp=sharing"",""ชลบุรี!I407"")"),0)</f>
        <v>0</v>
      </c>
      <c r="J512" s="198">
        <f ca="1">IFERROR(__xludf.DUMMYFUNCTION("IMPORTRANGE(""https://docs.google.com/spreadsheets/d/1SX6NBoVAgQJ6U1MVXOaj8PK2l7WJ3RER9xtqwdhxkhw/edit?usp=sharing"",""ชลบุรี!J407"")"),0)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IFERROR(__xludf.DUMMYFUNCTION("IMPORTRANGE(""https://docs.google.com/spreadsheets/d/1SX6NBoVAgQJ6U1MVXOaj8PK2l7WJ3RER9xtqwdhxkhw/edit?usp=sharing"",""ชลบุรี!I408"")"),0)</f>
        <v>0</v>
      </c>
      <c r="J513" s="198">
        <f ca="1">IFERROR(__xludf.DUMMYFUNCTION("IMPORTRANGE(""https://docs.google.com/spreadsheets/d/1SX6NBoVAgQJ6U1MVXOaj8PK2l7WJ3RER9xtqwdhxkhw/edit?usp=sharing"",""ชลบุรี!J408"")"),0)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IFERROR(__xludf.DUMMYFUNCTION("IMPORTRANGE(""https://docs.google.com/spreadsheets/d/1SX6NBoVAgQJ6U1MVXOaj8PK2l7WJ3RER9xtqwdhxkhw/edit?usp=sharing"",""ชลบุรี!I409"")"),0)</f>
        <v>0</v>
      </c>
      <c r="J514" s="198">
        <f ca="1">IFERROR(__xludf.DUMMYFUNCTION("IMPORTRANGE(""https://docs.google.com/spreadsheets/d/1SX6NBoVAgQJ6U1MVXOaj8PK2l7WJ3RER9xtqwdhxkhw/edit?usp=sharing"",""ชลบุรี!J409"")"),0)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IFERROR(__xludf.DUMMYFUNCTION("IMPORTRANGE(""https://docs.google.com/spreadsheets/d/1SX6NBoVAgQJ6U1MVXOaj8PK2l7WJ3RER9xtqwdhxkhw/edit?usp=sharing"",""ชลบุรี!I410"")"),0)</f>
        <v>0</v>
      </c>
      <c r="J515" s="198">
        <f ca="1">IFERROR(__xludf.DUMMYFUNCTION("IMPORTRANGE(""https://docs.google.com/spreadsheets/d/1SX6NBoVAgQJ6U1MVXOaj8PK2l7WJ3RER9xtqwdhxkhw/edit?usp=sharing"",""ชลบุรี!J410"")"),0)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IFERROR(__xludf.DUMMYFUNCTION("IMPORTRANGE(""https://docs.google.com/spreadsheets/d/1SX6NBoVAgQJ6U1MVXOaj8PK2l7WJ3RER9xtqwdhxkhw/edit?usp=sharing"",""ชลบุรี!I411"")"),0)</f>
        <v>0</v>
      </c>
      <c r="J516" s="267">
        <f ca="1">IFERROR(__xludf.DUMMYFUNCTION("IMPORTRANGE(""https://docs.google.com/spreadsheets/d/1SX6NBoVAgQJ6U1MVXOaj8PK2l7WJ3RER9xtqwdhxkhw/edit?usp=sharing"",""ชลบุรี!J411"")"),0)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IFERROR(__xludf.DUMMYFUNCTION("IMPORTRANGE(""https://docs.google.com/spreadsheets/d/1SX6NBoVAgQJ6U1MVXOaj8PK2l7WJ3RER9xtqwdhxkhw/edit?usp=sharing"",""ชลบุรี!I412"")"),0)</f>
        <v>0</v>
      </c>
      <c r="J517" s="284">
        <f ca="1">IFERROR(__xludf.DUMMYFUNCTION("IMPORTRANGE(""https://docs.google.com/spreadsheets/d/1SX6NBoVAgQJ6U1MVXOaj8PK2l7WJ3RER9xtqwdhxkhw/edit?usp=sharing"",""ชลบุรี!J412"")"),0)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IFERROR(__xludf.DUMMYFUNCTION("IMPORTRANGE(""https://docs.google.com/spreadsheets/d/1SX6NBoVAgQJ6U1MVXOaj8PK2l7WJ3RER9xtqwdhxkhw/edit?usp=sharing"",""ชลบุรี!I413"")"),0)</f>
        <v>0</v>
      </c>
      <c r="J518" s="284">
        <f ca="1">IFERROR(__xludf.DUMMYFUNCTION("IMPORTRANGE(""https://docs.google.com/spreadsheets/d/1SX6NBoVAgQJ6U1MVXOaj8PK2l7WJ3RER9xtqwdhxkhw/edit?usp=sharing"",""ชลบุรี!J413"")"),0)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IFERROR(__xludf.DUMMYFUNCTION("IMPORTRANGE(""https://docs.google.com/spreadsheets/d/1SX6NBoVAgQJ6U1MVXOaj8PK2l7WJ3RER9xtqwdhxkhw/edit?usp=sharing"",""ชลบุรี!I414"")"),0)</f>
        <v>0</v>
      </c>
      <c r="J519" s="188">
        <f ca="1">IFERROR(__xludf.DUMMYFUNCTION("IMPORTRANGE(""https://docs.google.com/spreadsheets/d/1SX6NBoVAgQJ6U1MVXOaj8PK2l7WJ3RER9xtqwdhxkhw/edit?usp=sharing"",""ชลบุรี!J414"")"),0)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IFERROR(__xludf.DUMMYFUNCTION("IMPORTRANGE(""https://docs.google.com/spreadsheets/d/1SX6NBoVAgQJ6U1MVXOaj8PK2l7WJ3RER9xtqwdhxkhw/edit?usp=sharing"",""ชลบุรี!I415"")"),0)</f>
        <v>0</v>
      </c>
      <c r="J520" s="188">
        <f ca="1">IFERROR(__xludf.DUMMYFUNCTION("IMPORTRANGE(""https://docs.google.com/spreadsheets/d/1SX6NBoVAgQJ6U1MVXOaj8PK2l7WJ3RER9xtqwdhxkhw/edit?usp=sharing"",""ชลบุรี!J415"")"),0)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IFERROR(__xludf.DUMMYFUNCTION("IMPORTRANGE(""https://docs.google.com/spreadsheets/d/1SX6NBoVAgQJ6U1MVXOaj8PK2l7WJ3RER9xtqwdhxkhw/edit?usp=sharing"",""ชลบุรี!I416"")"),0)</f>
        <v>0</v>
      </c>
      <c r="J521" s="188">
        <f ca="1">IFERROR(__xludf.DUMMYFUNCTION("IMPORTRANGE(""https://docs.google.com/spreadsheets/d/1SX6NBoVAgQJ6U1MVXOaj8PK2l7WJ3RER9xtqwdhxkhw/edit?usp=sharing"",""ชลบุรี!J416"")"),0)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IFERROR(__xludf.DUMMYFUNCTION("IMPORTRANGE(""https://docs.google.com/spreadsheets/d/1SX6NBoVAgQJ6U1MVXOaj8PK2l7WJ3RER9xtqwdhxkhw/edit?usp=sharing"",""ชลบุรี!I417"")"),0)</f>
        <v>0</v>
      </c>
      <c r="J522" s="188">
        <f ca="1">IFERROR(__xludf.DUMMYFUNCTION("IMPORTRANGE(""https://docs.google.com/spreadsheets/d/1SX6NBoVAgQJ6U1MVXOaj8PK2l7WJ3RER9xtqwdhxkhw/edit?usp=sharing"",""ชลบุรี!J417"")"),0)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IFERROR(__xludf.DUMMYFUNCTION("IMPORTRANGE(""https://docs.google.com/spreadsheets/d/1SX6NBoVAgQJ6U1MVXOaj8PK2l7WJ3RER9xtqwdhxkhw/edit?usp=sharing"",""ชลบุรี!I418"")"),0)</f>
        <v>0</v>
      </c>
      <c r="J523" s="188">
        <f ca="1">IFERROR(__xludf.DUMMYFUNCTION("IMPORTRANGE(""https://docs.google.com/spreadsheets/d/1SX6NBoVAgQJ6U1MVXOaj8PK2l7WJ3RER9xtqwdhxkhw/edit?usp=sharing"",""ชลบุรี!J418"")"),4494)</f>
        <v>4494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IFERROR(__xludf.DUMMYFUNCTION("IMPORTRANGE(""https://docs.google.com/spreadsheets/d/1SX6NBoVAgQJ6U1MVXOaj8PK2l7WJ3RER9xtqwdhxkhw/edit?usp=sharing"",""ชลบุรี!I419"")"),0)</f>
        <v>0</v>
      </c>
      <c r="J524" s="188">
        <f ca="1">IFERROR(__xludf.DUMMYFUNCTION("IMPORTRANGE(""https://docs.google.com/spreadsheets/d/1SX6NBoVAgQJ6U1MVXOaj8PK2l7WJ3RER9xtqwdhxkhw/edit?usp=sharing"",""ชลบุรี!J419"")"),115)</f>
        <v>115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IFERROR(__xludf.DUMMYFUNCTION("IMPORTRANGE(""https://docs.google.com/spreadsheets/d/1SX6NBoVAgQJ6U1MVXOaj8PK2l7WJ3RER9xtqwdhxkhw/edit?usp=sharing"",""ชลบุรี!I420"")"),4494)</f>
        <v>4494</v>
      </c>
      <c r="J525" s="284">
        <f ca="1">IFERROR(__xludf.DUMMYFUNCTION("IMPORTRANGE(""https://docs.google.com/spreadsheets/d/1SX6NBoVAgQJ6U1MVXOaj8PK2l7WJ3RER9xtqwdhxkhw/edit?usp=sharing"",""ชลบุรี!J420"")"),4494.41)</f>
        <v>4494.41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IFERROR(__xludf.DUMMYFUNCTION("IMPORTRANGE(""https://docs.google.com/spreadsheets/d/1SX6NBoVAgQJ6U1MVXOaj8PK2l7WJ3RER9xtqwdhxkhw/edit?usp=sharing"",""ชลบุรี!I421"")"),115)</f>
        <v>115</v>
      </c>
      <c r="J526" s="284">
        <f ca="1">IFERROR(__xludf.DUMMYFUNCTION("IMPORTRANGE(""https://docs.google.com/spreadsheets/d/1SX6NBoVAgQJ6U1MVXOaj8PK2l7WJ3RER9xtqwdhxkhw/edit?usp=sharing"",""ชลบุรี!J421"")"),115)</f>
        <v>115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IFERROR(__xludf.DUMMYFUNCTION("IMPORTRANGE(""https://docs.google.com/spreadsheets/d/1SX6NBoVAgQJ6U1MVXOaj8PK2l7WJ3RER9xtqwdhxkhw/edit?usp=sharing"",""ชลบุรี!I422"")"),0)</f>
        <v>0</v>
      </c>
      <c r="J527" s="198">
        <f ca="1">IFERROR(__xludf.DUMMYFUNCTION("IMPORTRANGE(""https://docs.google.com/spreadsheets/d/1SX6NBoVAgQJ6U1MVXOaj8PK2l7WJ3RER9xtqwdhxkhw/edit?usp=sharing"",""ชลบุรี!J422"")"),4344.76)</f>
        <v>4344.76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IFERROR(__xludf.DUMMYFUNCTION("IMPORTRANGE(""https://docs.google.com/spreadsheets/d/1SX6NBoVAgQJ6U1MVXOaj8PK2l7WJ3RER9xtqwdhxkhw/edit?usp=sharing"",""ชลบุรี!I423"")"),0)</f>
        <v>0</v>
      </c>
      <c r="J528" s="198">
        <f ca="1">IFERROR(__xludf.DUMMYFUNCTION("IMPORTRANGE(""https://docs.google.com/spreadsheets/d/1SX6NBoVAgQJ6U1MVXOaj8PK2l7WJ3RER9xtqwdhxkhw/edit?usp=sharing"",""ชลบุรี!J423"")"),104)</f>
        <v>104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IFERROR(__xludf.DUMMYFUNCTION("IMPORTRANGE(""https://docs.google.com/spreadsheets/d/1SX6NBoVAgQJ6U1MVXOaj8PK2l7WJ3RER9xtqwdhxkhw/edit?usp=sharing"",""ชลบุรี!I424"")"),0)</f>
        <v>0</v>
      </c>
      <c r="J529" s="198">
        <f ca="1">IFERROR(__xludf.DUMMYFUNCTION("IMPORTRANGE(""https://docs.google.com/spreadsheets/d/1SX6NBoVAgQJ6U1MVXOaj8PK2l7WJ3RER9xtqwdhxkhw/edit?usp=sharing"",""ชลบุรี!J424"")"),149.65)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IFERROR(__xludf.DUMMYFUNCTION("IMPORTRANGE(""https://docs.google.com/spreadsheets/d/1SX6NBoVAgQJ6U1MVXOaj8PK2l7WJ3RER9xtqwdhxkhw/edit?usp=sharing"",""ชลบุรี!I425"")"),0)</f>
        <v>0</v>
      </c>
      <c r="J530" s="198">
        <f ca="1">IFERROR(__xludf.DUMMYFUNCTION("IMPORTRANGE(""https://docs.google.com/spreadsheets/d/1SX6NBoVAgQJ6U1MVXOaj8PK2l7WJ3RER9xtqwdhxkhw/edit?usp=sharing"",""ชลบุรี!J425"")"),11)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IFERROR(__xludf.DUMMYFUNCTION("IMPORTRANGE(""https://docs.google.com/spreadsheets/d/1SX6NBoVAgQJ6U1MVXOaj8PK2l7WJ3RER9xtqwdhxkhw/edit?usp=sharing"",""ชลบุรี!I426"")"),0)</f>
        <v>0</v>
      </c>
      <c r="J531" s="198">
        <f ca="1">IFERROR(__xludf.DUMMYFUNCTION("IMPORTRANGE(""https://docs.google.com/spreadsheets/d/1SX6NBoVAgQJ6U1MVXOaj8PK2l7WJ3RER9xtqwdhxkhw/edit?usp=sharing"",""ชลบุรี!J426"")"),0)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IFERROR(__xludf.DUMMYFUNCTION("IMPORTRANGE(""https://docs.google.com/spreadsheets/d/1SX6NBoVAgQJ6U1MVXOaj8PK2l7WJ3RER9xtqwdhxkhw/edit?usp=sharing"",""ชลบุรี!I427"")"),0)</f>
        <v>0</v>
      </c>
      <c r="J532" s="466">
        <f ca="1">IFERROR(__xludf.DUMMYFUNCTION("IMPORTRANGE(""https://docs.google.com/spreadsheets/d/1SX6NBoVAgQJ6U1MVXOaj8PK2l7WJ3RER9xtqwdhxkhw/edit?usp=sharing"",""ชลบุรี!J427"")"),0)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IFERROR(__xludf.DUMMYFUNCTION("IMPORTRANGE(""https://docs.google.com/spreadsheets/d/1SX6NBoVAgQJ6U1MVXOaj8PK2l7WJ3RER9xtqwdhxkhw/edit?usp=sharing"",""ชลบุรี!I428"")"),20)</f>
        <v>20</v>
      </c>
      <c r="J533" s="410">
        <f ca="1">IFERROR(__xludf.DUMMYFUNCTION("IMPORTRANGE(""https://docs.google.com/spreadsheets/d/1SX6NBoVAgQJ6U1MVXOaj8PK2l7WJ3RER9xtqwdhxkhw/edit?usp=sharing"",""ชลบุรี!J428"")"),20)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IFERROR(__xludf.DUMMYFUNCTION("IMPORTRANGE(""https://docs.google.com/spreadsheets/d/1SX6NBoVAgQJ6U1MVXOaj8PK2l7WJ3RER9xtqwdhxkhw/edit?usp=sharing"",""ชลบุรี!L428"")"),32640)</f>
        <v>32640</v>
      </c>
      <c r="M533" s="412"/>
      <c r="N533" s="412">
        <f ca="1">IFERROR(__xludf.DUMMYFUNCTION("IMPORTRANGE(""https://docs.google.com/spreadsheets/d/1SX6NBoVAgQJ6U1MVXOaj8PK2l7WJ3RER9xtqwdhxkhw/edit?usp=sharing"",""ชลบุรี!M428"")"),14840)</f>
        <v>14840</v>
      </c>
      <c r="O533" s="412">
        <f t="shared" ref="O533:O537" ca="1" si="118">+IF(L533&gt;0,N533*100/L533,0)</f>
        <v>45.465686274509807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IFERROR(__xludf.DUMMYFUNCTION("IMPORTRANGE(""https://docs.google.com/spreadsheets/d/1SX6NBoVAgQJ6U1MVXOaj8PK2l7WJ3RER9xtqwdhxkhw/edit?usp=sharing"",""ชลบุรี!L429"")"),0)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IFERROR(__xludf.DUMMYFUNCTION("IMPORTRANGE(""https://docs.google.com/spreadsheets/d/1SX6NBoVAgQJ6U1MVXOaj8PK2l7WJ3RER9xtqwdhxkhw/edit?usp=sharing"",""ชลบุรี!M429"")"),0)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IFERROR(__xludf.DUMMYFUNCTION("IMPORTRANGE(""https://docs.google.com/spreadsheets/d/1SX6NBoVAgQJ6U1MVXOaj8PK2l7WJ3RER9xtqwdhxkhw/edit?usp=sharing"",""ชลบุรี!L430"")"),32640)</f>
        <v>32640</v>
      </c>
      <c r="M535" s="165"/>
      <c r="N535" s="169">
        <f ca="1">IFERROR(__xludf.DUMMYFUNCTION("IMPORTRANGE(""https://docs.google.com/spreadsheets/d/1SX6NBoVAgQJ6U1MVXOaj8PK2l7WJ3RER9xtqwdhxkhw/edit?usp=sharing"",""ชลบุรี!M430"")"),14840)</f>
        <v>14840</v>
      </c>
      <c r="O535" s="169">
        <f t="shared" ca="1" si="118"/>
        <v>45.465686274509807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IFERROR(__xludf.DUMMYFUNCTION("IMPORTRANGE(""https://docs.google.com/spreadsheets/d/1SX6NBoVAgQJ6U1MVXOaj8PK2l7WJ3RER9xtqwdhxkhw/edit?usp=sharing"",""ชลบุรี!L431"")"),0)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IFERROR(__xludf.DUMMYFUNCTION("IMPORTRANGE(""https://docs.google.com/spreadsheets/d/1SX6NBoVAgQJ6U1MVXOaj8PK2l7WJ3RER9xtqwdhxkhw/edit?usp=sharing"",""ชลบุรี!M431"")"),0)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IFERROR(__xludf.DUMMYFUNCTION("IMPORTRANGE(""https://docs.google.com/spreadsheets/d/1SX6NBoVAgQJ6U1MVXOaj8PK2l7WJ3RER9xtqwdhxkhw/edit?usp=sharing"",""ชลบุรี!L432"")"),32640)</f>
        <v>32640</v>
      </c>
      <c r="M537" s="169"/>
      <c r="N537" s="169">
        <f ca="1">IFERROR(__xludf.DUMMYFUNCTION("IMPORTRANGE(""https://docs.google.com/spreadsheets/d/1SX6NBoVAgQJ6U1MVXOaj8PK2l7WJ3RER9xtqwdhxkhw/edit?usp=sharing"",""ชลบุรี!M432"")"),14840)</f>
        <v>14840</v>
      </c>
      <c r="O537" s="169">
        <f t="shared" ca="1" si="118"/>
        <v>45.465686274509807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IFERROR(__xludf.DUMMYFUNCTION("IMPORTRANGE(""https://docs.google.com/spreadsheets/d/1SX6NBoVAgQJ6U1MVXOaj8PK2l7WJ3RER9xtqwdhxkhw/edit?usp=sharing"",""ชลบุรี!M433"")"),13600)</f>
        <v>13600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IFERROR(__xludf.DUMMYFUNCTION("IMPORTRANGE(""https://docs.google.com/spreadsheets/d/1SX6NBoVAgQJ6U1MVXOaj8PK2l7WJ3RER9xtqwdhxkhw/edit?usp=sharing"",""ชลบุรี!M434"")"),0)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IFERROR(__xludf.DUMMYFUNCTION("IMPORTRANGE(""https://docs.google.com/spreadsheets/d/1SX6NBoVAgQJ6U1MVXOaj8PK2l7WJ3RER9xtqwdhxkhw/edit?usp=sharing"",""ชลบุรี!M435"")"),0)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IFERROR(__xludf.DUMMYFUNCTION("IMPORTRANGE(""https://docs.google.com/spreadsheets/d/1SX6NBoVAgQJ6U1MVXOaj8PK2l7WJ3RER9xtqwdhxkhw/edit?usp=sharing"",""ชลบุรี!M436"")"),1240)</f>
        <v>1240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IFERROR(__xludf.DUMMYFUNCTION("IMPORTRANGE(""https://docs.google.com/spreadsheets/d/1SX6NBoVAgQJ6U1MVXOaj8PK2l7WJ3RER9xtqwdhxkhw/edit?usp=sharing"",""ชลบุรี!J438"")"),0)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IFERROR(__xludf.DUMMYFUNCTION("IMPORTRANGE(""https://docs.google.com/spreadsheets/d/1SX6NBoVAgQJ6U1MVXOaj8PK2l7WJ3RER9xtqwdhxkhw/edit?usp=sharing"",""ชลบุรี!J439"")"),1)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IFERROR(__xludf.DUMMYFUNCTION("IMPORTRANGE(""https://docs.google.com/spreadsheets/d/1SX6NBoVAgQJ6U1MVXOaj8PK2l7WJ3RER9xtqwdhxkhw/edit?usp=sharing"",""ชลบุรี!J440"")"),1)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IFERROR(__xludf.DUMMYFUNCTION("IMPORTRANGE(""https://docs.google.com/spreadsheets/d/1SX6NBoVAgQJ6U1MVXOaj8PK2l7WJ3RER9xtqwdhxkhw/edit?usp=sharing"",""ชลบุรี!J441"")"),1)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IFERROR(__xludf.DUMMYFUNCTION("IMPORTRANGE(""https://docs.google.com/spreadsheets/d/1SX6NBoVAgQJ6U1MVXOaj8PK2l7WJ3RER9xtqwdhxkhw/edit?usp=sharing"",""ชลบุรี!I442"")"),20)</f>
        <v>20</v>
      </c>
      <c r="J547" s="189">
        <f ca="1">IFERROR(__xludf.DUMMYFUNCTION("IMPORTRANGE(""https://docs.google.com/spreadsheets/d/1SX6NBoVAgQJ6U1MVXOaj8PK2l7WJ3RER9xtqwdhxkhw/edit?usp=sharing"",""ชลบุรี!J442"")"),20)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IFERROR(__xludf.DUMMYFUNCTION("IMPORTRANGE(""https://docs.google.com/spreadsheets/d/1SX6NBoVAgQJ6U1MVXOaj8PK2l7WJ3RER9xtqwdhxkhw/edit?usp=sharing"",""ชลบุรี!J166"")"),0)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IFERROR(__xludf.DUMMYFUNCTION("IMPORTRANGE(""https://docs.google.com/spreadsheets/d/1SX6NBoVAgQJ6U1MVXOaj8PK2l7WJ3RER9xtqwdhxkhw/edit?usp=sharing"",""ชลบุรี!J444"")"),0)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IFERROR(__xludf.DUMMYFUNCTION("IMPORTRANGE(""https://docs.google.com/spreadsheets/d/1SX6NBoVAgQJ6U1MVXOaj8PK2l7WJ3RER9xtqwdhxkhw/edit?usp=sharing"",""ชลบุรี!J445"")"),0)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IFERROR(__xludf.DUMMYFUNCTION("IMPORTRANGE(""https://docs.google.com/spreadsheets/d/1SX6NBoVAgQJ6U1MVXOaj8PK2l7WJ3RER9xtqwdhxkhw/edit?usp=sharing"",""ชลบุรี!I446"")"),0)</f>
        <v>0</v>
      </c>
      <c r="J551" s="410">
        <f ca="1">IFERROR(__xludf.DUMMYFUNCTION("IMPORTRANGE(""https://docs.google.com/spreadsheets/d/1SX6NBoVAgQJ6U1MVXOaj8PK2l7WJ3RER9xtqwdhxkhw/edit?usp=sharing"",""ชลบุรี!J446"")"),0)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IFERROR(__xludf.DUMMYFUNCTION("IMPORTRANGE(""https://docs.google.com/spreadsheets/d/1SX6NBoVAgQJ6U1MVXOaj8PK2l7WJ3RER9xtqwdhxkhw/edit?usp=sharing"",""ชลบุรี!L446"")"),0)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IFERROR(__xludf.DUMMYFUNCTION("IMPORTRANGE(""https://docs.google.com/spreadsheets/d/1SX6NBoVAgQJ6U1MVXOaj8PK2l7WJ3RER9xtqwdhxkhw/edit?usp=sharing"",""ชลบุรี!M446"")"),0)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IFERROR(__xludf.DUMMYFUNCTION("IMPORTRANGE(""https://docs.google.com/spreadsheets/d/1SX6NBoVAgQJ6U1MVXOaj8PK2l7WJ3RER9xtqwdhxkhw/edit?usp=sharing"",""ชลบุรี!L447"")"),0)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IFERROR(__xludf.DUMMYFUNCTION("IMPORTRANGE(""https://docs.google.com/spreadsheets/d/1SX6NBoVAgQJ6U1MVXOaj8PK2l7WJ3RER9xtqwdhxkhw/edit?usp=sharing"",""ชลบุรี!M447"")"),0)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IFERROR(__xludf.DUMMYFUNCTION("IMPORTRANGE(""https://docs.google.com/spreadsheets/d/1SX6NBoVAgQJ6U1MVXOaj8PK2l7WJ3RER9xtqwdhxkhw/edit?usp=sharing"",""ชลบุรี!L448"")"),0)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IFERROR(__xludf.DUMMYFUNCTION("IMPORTRANGE(""https://docs.google.com/spreadsheets/d/1SX6NBoVAgQJ6U1MVXOaj8PK2l7WJ3RER9xtqwdhxkhw/edit?usp=sharing"",""ชลบุรี!M448"")"),0)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IFERROR(__xludf.DUMMYFUNCTION("IMPORTRANGE(""https://docs.google.com/spreadsheets/d/1SX6NBoVAgQJ6U1MVXOaj8PK2l7WJ3RER9xtqwdhxkhw/edit?usp=sharing"",""ชลบุรี!L449"")"),0)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IFERROR(__xludf.DUMMYFUNCTION("IMPORTRANGE(""https://docs.google.com/spreadsheets/d/1SX6NBoVAgQJ6U1MVXOaj8PK2l7WJ3RER9xtqwdhxkhw/edit?usp=sharing"",""ชลบุรี!M449"")"),0)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IFERROR(__xludf.DUMMYFUNCTION("IMPORTRANGE(""https://docs.google.com/spreadsheets/d/1SX6NBoVAgQJ6U1MVXOaj8PK2l7WJ3RER9xtqwdhxkhw/edit?usp=sharing"",""ชลบุรี!L450"")"),0)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IFERROR(__xludf.DUMMYFUNCTION("IMPORTRANGE(""https://docs.google.com/spreadsheets/d/1SX6NBoVAgQJ6U1MVXOaj8PK2l7WJ3RER9xtqwdhxkhw/edit?usp=sharing"",""ชลบุรี!M450"")"),0)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IFERROR(__xludf.DUMMYFUNCTION("IMPORTRANGE(""https://docs.google.com/spreadsheets/d/1SX6NBoVAgQJ6U1MVXOaj8PK2l7WJ3RER9xtqwdhxkhw/edit?usp=sharing"",""ชลบุรี!M451"")"),0)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IFERROR(__xludf.DUMMYFUNCTION("IMPORTRANGE(""https://docs.google.com/spreadsheets/d/1SX6NBoVAgQJ6U1MVXOaj8PK2l7WJ3RER9xtqwdhxkhw/edit?usp=sharing"",""ชลบุรี!M452"")"),0)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IFERROR(__xludf.DUMMYFUNCTION("IMPORTRANGE(""https://docs.google.com/spreadsheets/d/1SX6NBoVAgQJ6U1MVXOaj8PK2l7WJ3RER9xtqwdhxkhw/edit?usp=sharing"",""ชลบุรี!M453"")"),0)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IFERROR(__xludf.DUMMYFUNCTION("IMPORTRANGE(""https://docs.google.com/spreadsheets/d/1SX6NBoVAgQJ6U1MVXOaj8PK2l7WJ3RER9xtqwdhxkhw/edit?usp=sharing"",""ชลบุรี!M454"")"),0)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IFERROR(__xludf.DUMMYFUNCTION("IMPORTRANGE(""https://docs.google.com/spreadsheets/d/1SX6NBoVAgQJ6U1MVXOaj8PK2l7WJ3RER9xtqwdhxkhw/edit?usp=sharing"",""ชลบุรี!I455"")"),0)</f>
        <v>0</v>
      </c>
      <c r="J560" s="162">
        <f ca="1">IFERROR(__xludf.DUMMYFUNCTION("IMPORTRANGE(""https://docs.google.com/spreadsheets/d/1SX6NBoVAgQJ6U1MVXOaj8PK2l7WJ3RER9xtqwdhxkhw/edit?usp=sharing"",""ชลบุรี!J455"")"),0)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IFERROR(__xludf.DUMMYFUNCTION("IMPORTRANGE(""https://docs.google.com/spreadsheets/d/1SX6NBoVAgQJ6U1MVXOaj8PK2l7WJ3RER9xtqwdhxkhw/edit?usp=sharing"",""ชลบุรี!I456"")"),0)</f>
        <v>0</v>
      </c>
      <c r="J561" s="204">
        <f ca="1">IFERROR(__xludf.DUMMYFUNCTION("IMPORTRANGE(""https://docs.google.com/spreadsheets/d/1SX6NBoVAgQJ6U1MVXOaj8PK2l7WJ3RER9xtqwdhxkhw/edit?usp=sharing"",""ชลบุรี!J456"")"),0)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IFERROR(__xludf.DUMMYFUNCTION("IMPORTRANGE(""https://docs.google.com/spreadsheets/d/1SX6NBoVAgQJ6U1MVXOaj8PK2l7WJ3RER9xtqwdhxkhw/edit?usp=sharing"",""ชลบุรี!I459"")"),900)</f>
        <v>900</v>
      </c>
      <c r="J564" s="371">
        <f ca="1">IFERROR(__xludf.DUMMYFUNCTION("IMPORTRANGE(""https://docs.google.com/spreadsheets/d/1SX6NBoVAgQJ6U1MVXOaj8PK2l7WJ3RER9xtqwdhxkhw/edit?usp=sharing"",""ชลบุรี!J459"")"),996)</f>
        <v>996</v>
      </c>
      <c r="K564" s="372">
        <f ca="1">IF(I564&gt;0,J564*100/I564,0)</f>
        <v>110.66666666666667</v>
      </c>
      <c r="L564" s="373">
        <f ca="1">IFERROR(__xludf.DUMMYFUNCTION("IMPORTRANGE(""https://docs.google.com/spreadsheets/d/1SX6NBoVAgQJ6U1MVXOaj8PK2l7WJ3RER9xtqwdhxkhw/edit?usp=sharing"",""ชลบุรี!L459"")"),121120)</f>
        <v>121120</v>
      </c>
      <c r="M564" s="373"/>
      <c r="N564" s="373">
        <f ca="1">IFERROR(__xludf.DUMMYFUNCTION("IMPORTRANGE(""https://docs.google.com/spreadsheets/d/1SX6NBoVAgQJ6U1MVXOaj8PK2l7WJ3RER9xtqwdhxkhw/edit?usp=sharing"",""ชลบุรี!M459"")"),25261.85)</f>
        <v>25261.85</v>
      </c>
      <c r="O564" s="373">
        <f t="shared" ref="O564:O568" ca="1" si="122">+IF(L564&gt;0,N564*100/L564,0)</f>
        <v>20.856877476882431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IFERROR(__xludf.DUMMYFUNCTION("IMPORTRANGE(""https://docs.google.com/spreadsheets/d/1SX6NBoVAgQJ6U1MVXOaj8PK2l7WJ3RER9xtqwdhxkhw/edit?usp=sharing"",""ชลบุรี!L460"")"),0)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IFERROR(__xludf.DUMMYFUNCTION("IMPORTRANGE(""https://docs.google.com/spreadsheets/d/1SX6NBoVAgQJ6U1MVXOaj8PK2l7WJ3RER9xtqwdhxkhw/edit?usp=sharing"",""ชลบุรี!M460"")"),0)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IFERROR(__xludf.DUMMYFUNCTION("IMPORTRANGE(""https://docs.google.com/spreadsheets/d/1SX6NBoVAgQJ6U1MVXOaj8PK2l7WJ3RER9xtqwdhxkhw/edit?usp=sharing"",""ชลบุรี!L461"")"),121120)</f>
        <v>121120</v>
      </c>
      <c r="M566" s="165"/>
      <c r="N566" s="169">
        <f ca="1">IFERROR(__xludf.DUMMYFUNCTION("IMPORTRANGE(""https://docs.google.com/spreadsheets/d/1SX6NBoVAgQJ6U1MVXOaj8PK2l7WJ3RER9xtqwdhxkhw/edit?usp=sharing"",""ชลบุรี!M461"")"),25261.85)</f>
        <v>25261.85</v>
      </c>
      <c r="O566" s="169">
        <f t="shared" ca="1" si="122"/>
        <v>20.856877476882431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IFERROR(__xludf.DUMMYFUNCTION("IMPORTRANGE(""https://docs.google.com/spreadsheets/d/1SX6NBoVAgQJ6U1MVXOaj8PK2l7WJ3RER9xtqwdhxkhw/edit?usp=sharing"",""ชลบุรี!L462"")"),0)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IFERROR(__xludf.DUMMYFUNCTION("IMPORTRANGE(""https://docs.google.com/spreadsheets/d/1SX6NBoVAgQJ6U1MVXOaj8PK2l7WJ3RER9xtqwdhxkhw/edit?usp=sharing"",""ชลบุรี!M462"")"),0)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IFERROR(__xludf.DUMMYFUNCTION("IMPORTRANGE(""https://docs.google.com/spreadsheets/d/1SX6NBoVAgQJ6U1MVXOaj8PK2l7WJ3RER9xtqwdhxkhw/edit?usp=sharing"",""ชลบุรี!L463"")"),121120)</f>
        <v>121120</v>
      </c>
      <c r="M568" s="169"/>
      <c r="N568" s="169">
        <f ca="1">IFERROR(__xludf.DUMMYFUNCTION("IMPORTRANGE(""https://docs.google.com/spreadsheets/d/1SX6NBoVAgQJ6U1MVXOaj8PK2l7WJ3RER9xtqwdhxkhw/edit?usp=sharing"",""ชลบุรี!M463"")"),25261.85)</f>
        <v>25261.85</v>
      </c>
      <c r="O568" s="169">
        <f t="shared" ca="1" si="122"/>
        <v>20.856877476882431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IFERROR(__xludf.DUMMYFUNCTION("IMPORTRANGE(""https://docs.google.com/spreadsheets/d/1SX6NBoVAgQJ6U1MVXOaj8PK2l7WJ3RER9xtqwdhxkhw/edit?usp=sharing"",""ชลบุรี!M464"")"),0)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IFERROR(__xludf.DUMMYFUNCTION("IMPORTRANGE(""https://docs.google.com/spreadsheets/d/1SX6NBoVAgQJ6U1MVXOaj8PK2l7WJ3RER9xtqwdhxkhw/edit?usp=sharing"",""ชลบุรี!M465"")"),0)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IFERROR(__xludf.DUMMYFUNCTION("IMPORTRANGE(""https://docs.google.com/spreadsheets/d/1SX6NBoVAgQJ6U1MVXOaj8PK2l7WJ3RER9xtqwdhxkhw/edit?usp=sharing"",""ชลบุรี!M466"")"),16892.85)</f>
        <v>16892.849999999999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IFERROR(__xludf.DUMMYFUNCTION("IMPORTRANGE(""https://docs.google.com/spreadsheets/d/1SX6NBoVAgQJ6U1MVXOaj8PK2l7WJ3RER9xtqwdhxkhw/edit?usp=sharing"",""ชลบุรี!M467"")"),8369)</f>
        <v>8369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IFERROR(__xludf.DUMMYFUNCTION("IMPORTRANGE(""https://docs.google.com/spreadsheets/d/1SX6NBoVAgQJ6U1MVXOaj8PK2l7WJ3RER9xtqwdhxkhw/edit?usp=sharing"",""ชลบุรี!I468"")"),900)</f>
        <v>900</v>
      </c>
      <c r="J573" s="420">
        <f ca="1">IFERROR(__xludf.DUMMYFUNCTION("IMPORTRANGE(""https://docs.google.com/spreadsheets/d/1SX6NBoVAgQJ6U1MVXOaj8PK2l7WJ3RER9xtqwdhxkhw/edit?usp=sharing"",""ชลบุรี!J468"")"),996)</f>
        <v>996</v>
      </c>
      <c r="K573" s="202">
        <f ca="1">IF(I573&gt;0,J573*100/I573,0)</f>
        <v>110.66666666666667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IFERROR(__xludf.DUMMYFUNCTION("IMPORTRANGE(""https://docs.google.com/spreadsheets/d/1SX6NBoVAgQJ6U1MVXOaj8PK2l7WJ3RER9xtqwdhxkhw/edit?usp=sharing"",""ชลบุรี!I470"")"),4)</f>
        <v>4</v>
      </c>
      <c r="J575" s="198">
        <f ca="1">IFERROR(__xludf.DUMMYFUNCTION("IMPORTRANGE(""https://docs.google.com/spreadsheets/d/1SX6NBoVAgQJ6U1MVXOaj8PK2l7WJ3RER9xtqwdhxkhw/edit?usp=sharing"",""ชลบุรี!J470"")"),2)</f>
        <v>2</v>
      </c>
      <c r="K575" s="163">
        <f t="shared" ref="K575:K579" ca="1" si="123">IF(I575&gt;0,J575*100/I575,0)</f>
        <v>50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IFERROR(__xludf.DUMMYFUNCTION("IMPORTRANGE(""https://docs.google.com/spreadsheets/d/1SX6NBoVAgQJ6U1MVXOaj8PK2l7WJ3RER9xtqwdhxkhw/edit?usp=sharing"",""ชลบุรี!I471"")"),0)</f>
        <v>0</v>
      </c>
      <c r="J576" s="198">
        <f ca="1">IFERROR(__xludf.DUMMYFUNCTION("IMPORTRANGE(""https://docs.google.com/spreadsheets/d/1SX6NBoVAgQJ6U1MVXOaj8PK2l7WJ3RER9xtqwdhxkhw/edit?usp=sharing"",""ชลบุรี!J471"")"),83)</f>
        <v>83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IFERROR(__xludf.DUMMYFUNCTION("IMPORTRANGE(""https://docs.google.com/spreadsheets/d/1SX6NBoVAgQJ6U1MVXOaj8PK2l7WJ3RER9xtqwdhxkhw/edit?usp=sharing"",""ชลบุรี!I472"")"),900)</f>
        <v>900</v>
      </c>
      <c r="J577" s="189">
        <f ca="1">IFERROR(__xludf.DUMMYFUNCTION("IMPORTRANGE(""https://docs.google.com/spreadsheets/d/1SX6NBoVAgQJ6U1MVXOaj8PK2l7WJ3RER9xtqwdhxkhw/edit?usp=sharing"",""ชลบุรี!J472"")"),913)</f>
        <v>913</v>
      </c>
      <c r="K577" s="163">
        <f t="shared" ca="1" si="123"/>
        <v>101.44444444444444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IFERROR(__xludf.DUMMYFUNCTION("IMPORTRANGE(""https://docs.google.com/spreadsheets/d/1SX6NBoVAgQJ6U1MVXOaj8PK2l7WJ3RER9xtqwdhxkhw/edit?usp=sharing"",""ชลบุรี!I473"")"),0)</f>
        <v>0</v>
      </c>
      <c r="J578" s="198">
        <f ca="1">IFERROR(__xludf.DUMMYFUNCTION("IMPORTRANGE(""https://docs.google.com/spreadsheets/d/1SX6NBoVAgQJ6U1MVXOaj8PK2l7WJ3RER9xtqwdhxkhw/edit?usp=sharing"",""ชลบุรี!J473"")"),0)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IFERROR(__xludf.DUMMYFUNCTION("IMPORTRANGE(""https://docs.google.com/spreadsheets/d/1SX6NBoVAgQJ6U1MVXOaj8PK2l7WJ3RER9xtqwdhxkhw/edit?usp=sharing"",""ชลบุรี!I474"")"),0)</f>
        <v>0</v>
      </c>
      <c r="J579" s="198">
        <f ca="1">IFERROR(__xludf.DUMMYFUNCTION("IMPORTRANGE(""https://docs.google.com/spreadsheets/d/1SX6NBoVAgQJ6U1MVXOaj8PK2l7WJ3RER9xtqwdhxkhw/edit?usp=sharing"",""ชลบุรี!J474"")"),0)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IFERROR(__xludf.DUMMYFUNCTION("IMPORTRANGE(""https://docs.google.com/spreadsheets/d/1SX6NBoVAgQJ6U1MVXOaj8PK2l7WJ3RER9xtqwdhxkhw/edit?usp=sharing"",""ชลบุรี!I475"")"),0)</f>
        <v>0</v>
      </c>
      <c r="J580" s="371">
        <f ca="1">IFERROR(__xludf.DUMMYFUNCTION("IMPORTRANGE(""https://docs.google.com/spreadsheets/d/1SX6NBoVAgQJ6U1MVXOaj8PK2l7WJ3RER9xtqwdhxkhw/edit?usp=sharing"",""ชลบุรี!J475"")"),0)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IFERROR(__xludf.DUMMYFUNCTION("IMPORTRANGE(""https://docs.google.com/spreadsheets/d/1SX6NBoVAgQJ6U1MVXOaj8PK2l7WJ3RER9xtqwdhxkhw/edit?usp=sharing"",""ชลบุรี!L475"")"),0)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IFERROR(__xludf.DUMMYFUNCTION("IMPORTRANGE(""https://docs.google.com/spreadsheets/d/1SX6NBoVAgQJ6U1MVXOaj8PK2l7WJ3RER9xtqwdhxkhw/edit?usp=sharing"",""ชลบุรี!M475"")"),0)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IFERROR(__xludf.DUMMYFUNCTION("IMPORTRANGE(""https://docs.google.com/spreadsheets/d/1SX6NBoVAgQJ6U1MVXOaj8PK2l7WJ3RER9xtqwdhxkhw/edit?usp=sharing"",""ชลบุรี!L476"")"),0)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IFERROR(__xludf.DUMMYFUNCTION("IMPORTRANGE(""https://docs.google.com/spreadsheets/d/1SX6NBoVAgQJ6U1MVXOaj8PK2l7WJ3RER9xtqwdhxkhw/edit?usp=sharing"",""ชลบุรี!M476"")"),0)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IFERROR(__xludf.DUMMYFUNCTION("IMPORTRANGE(""https://docs.google.com/spreadsheets/d/1SX6NBoVAgQJ6U1MVXOaj8PK2l7WJ3RER9xtqwdhxkhw/edit?usp=sharing"",""ชลบุรี!L477"")"),0)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IFERROR(__xludf.DUMMYFUNCTION("IMPORTRANGE(""https://docs.google.com/spreadsheets/d/1SX6NBoVAgQJ6U1MVXOaj8PK2l7WJ3RER9xtqwdhxkhw/edit?usp=sharing"",""ชลบุรี!M477"")"),0)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IFERROR(__xludf.DUMMYFUNCTION("IMPORTRANGE(""https://docs.google.com/spreadsheets/d/1SX6NBoVAgQJ6U1MVXOaj8PK2l7WJ3RER9xtqwdhxkhw/edit?usp=sharing"",""ชลบุรี!L478"")"),0)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IFERROR(__xludf.DUMMYFUNCTION("IMPORTRANGE(""https://docs.google.com/spreadsheets/d/1SX6NBoVAgQJ6U1MVXOaj8PK2l7WJ3RER9xtqwdhxkhw/edit?usp=sharing"",""ชลบุรี!M478"")"),0)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IFERROR(__xludf.DUMMYFUNCTION("IMPORTRANGE(""https://docs.google.com/spreadsheets/d/1SX6NBoVAgQJ6U1MVXOaj8PK2l7WJ3RER9xtqwdhxkhw/edit?usp=sharing"",""ชลบุรี!L479"")"),0)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IFERROR(__xludf.DUMMYFUNCTION("IMPORTRANGE(""https://docs.google.com/spreadsheets/d/1SX6NBoVAgQJ6U1MVXOaj8PK2l7WJ3RER9xtqwdhxkhw/edit?usp=sharing"",""ชลบุรี!M479"")"),0)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IFERROR(__xludf.DUMMYFUNCTION("IMPORTRANGE(""https://docs.google.com/spreadsheets/d/1SX6NBoVAgQJ6U1MVXOaj8PK2l7WJ3RER9xtqwdhxkhw/edit?usp=sharing"",""ชลบุรี!M480"")"),0)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IFERROR(__xludf.DUMMYFUNCTION("IMPORTRANGE(""https://docs.google.com/spreadsheets/d/1SX6NBoVAgQJ6U1MVXOaj8PK2l7WJ3RER9xtqwdhxkhw/edit?usp=sharing"",""ชลบุรี!M481"")"),0)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IFERROR(__xludf.DUMMYFUNCTION("IMPORTRANGE(""https://docs.google.com/spreadsheets/d/1SX6NBoVAgQJ6U1MVXOaj8PK2l7WJ3RER9xtqwdhxkhw/edit?usp=sharing"",""ชลบุรี!M482"")"),0)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IFERROR(__xludf.DUMMYFUNCTION("IMPORTRANGE(""https://docs.google.com/spreadsheets/d/1SX6NBoVAgQJ6U1MVXOaj8PK2l7WJ3RER9xtqwdhxkhw/edit?usp=sharing"",""ชลบุรี!M483"")"),0)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IFERROR(__xludf.DUMMYFUNCTION("IMPORTRANGE(""https://docs.google.com/spreadsheets/d/1SX6NBoVAgQJ6U1MVXOaj8PK2l7WJ3RER9xtqwdhxkhw/edit?usp=sharing"",""ชลบุรี!I484"")"),0)</f>
        <v>0</v>
      </c>
      <c r="J589" s="188">
        <f ca="1">IFERROR(__xludf.DUMMYFUNCTION("IMPORTRANGE(""https://docs.google.com/spreadsheets/d/1SX6NBoVAgQJ6U1MVXOaj8PK2l7WJ3RER9xtqwdhxkhw/edit?usp=sharing"",""ชลบุรี!J484"")"),0)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IFERROR(__xludf.DUMMYFUNCTION("IMPORTRANGE(""https://docs.google.com/spreadsheets/d/1SX6NBoVAgQJ6U1MVXOaj8PK2l7WJ3RER9xtqwdhxkhw/edit?usp=sharing"",""ชลบุรี!I485"")"),0)</f>
        <v>0</v>
      </c>
      <c r="J590" s="188">
        <f ca="1">IFERROR(__xludf.DUMMYFUNCTION("IMPORTRANGE(""https://docs.google.com/spreadsheets/d/1SX6NBoVAgQJ6U1MVXOaj8PK2l7WJ3RER9xtqwdhxkhw/edit?usp=sharing"",""ชลบุรี!J485"")"),0)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IFERROR(__xludf.DUMMYFUNCTION("IMPORTRANGE(""https://docs.google.com/spreadsheets/d/1SX6NBoVAgQJ6U1MVXOaj8PK2l7WJ3RER9xtqwdhxkhw/edit?usp=sharing"",""ชลบุรี!I486"")"),0)</f>
        <v>0</v>
      </c>
      <c r="J591" s="188">
        <f ca="1">IFERROR(__xludf.DUMMYFUNCTION("IMPORTRANGE(""https://docs.google.com/spreadsheets/d/1SX6NBoVAgQJ6U1MVXOaj8PK2l7WJ3RER9xtqwdhxkhw/edit?usp=sharing"",""ชลบุรี!J486"")"),0)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IFERROR(__xludf.DUMMYFUNCTION("IMPORTRANGE(""https://docs.google.com/spreadsheets/d/1SX6NBoVAgQJ6U1MVXOaj8PK2l7WJ3RER9xtqwdhxkhw/edit?usp=sharing"",""ชลบุรี!I487"")"),0)</f>
        <v>0</v>
      </c>
      <c r="J592" s="188">
        <f ca="1">IFERROR(__xludf.DUMMYFUNCTION("IMPORTRANGE(""https://docs.google.com/spreadsheets/d/1SX6NBoVAgQJ6U1MVXOaj8PK2l7WJ3RER9xtqwdhxkhw/edit?usp=sharing"",""ชลบุรี!J487"")"),0)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IFERROR(__xludf.DUMMYFUNCTION("IMPORTRANGE(""https://docs.google.com/spreadsheets/d/1SX6NBoVAgQJ6U1MVXOaj8PK2l7WJ3RER9xtqwdhxkhw/edit?usp=sharing"",""ชลบุรี!I488"")"),0)</f>
        <v>0</v>
      </c>
      <c r="J593" s="188">
        <f ca="1">IFERROR(__xludf.DUMMYFUNCTION("IMPORTRANGE(""https://docs.google.com/spreadsheets/d/1SX6NBoVAgQJ6U1MVXOaj8PK2l7WJ3RER9xtqwdhxkhw/edit?usp=sharing"",""ชลบุรี!J488"")"),0)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IFERROR(__xludf.DUMMYFUNCTION("IMPORTRANGE(""https://docs.google.com/spreadsheets/d/1SX6NBoVAgQJ6U1MVXOaj8PK2l7WJ3RER9xtqwdhxkhw/edit?usp=sharing"",""ชลบุรี!I489"")"),0)</f>
        <v>0</v>
      </c>
      <c r="J594" s="188">
        <f ca="1">IFERROR(__xludf.DUMMYFUNCTION("IMPORTRANGE(""https://docs.google.com/spreadsheets/d/1SX6NBoVAgQJ6U1MVXOaj8PK2l7WJ3RER9xtqwdhxkhw/edit?usp=sharing"",""ชลบุรี!J489"")"),0)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IFERROR(__xludf.DUMMYFUNCTION("IMPORTRANGE(""https://docs.google.com/spreadsheets/d/1SX6NBoVAgQJ6U1MVXOaj8PK2l7WJ3RER9xtqwdhxkhw/edit?usp=sharing"",""ชลบุรี!I490"")"),0)</f>
        <v>0</v>
      </c>
      <c r="J595" s="188">
        <f ca="1">IFERROR(__xludf.DUMMYFUNCTION("IMPORTRANGE(""https://docs.google.com/spreadsheets/d/1SX6NBoVAgQJ6U1MVXOaj8PK2l7WJ3RER9xtqwdhxkhw/edit?usp=sharing"",""ชลบุรี!J490"")"),0)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IFERROR(__xludf.DUMMYFUNCTION("IMPORTRANGE(""https://docs.google.com/spreadsheets/d/1SX6NBoVAgQJ6U1MVXOaj8PK2l7WJ3RER9xtqwdhxkhw/edit?usp=sharing"",""ชลบุรี!I491"")"),0)</f>
        <v>0</v>
      </c>
      <c r="J596" s="241">
        <f ca="1">IFERROR(__xludf.DUMMYFUNCTION("IMPORTRANGE(""https://docs.google.com/spreadsheets/d/1SX6NBoVAgQJ6U1MVXOaj8PK2l7WJ3RER9xtqwdhxkhw/edit?usp=sharing"",""ชลบุรี!J491"")"),0)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IFERROR(__xludf.DUMMYFUNCTION("IMPORTRANGE(""https://docs.google.com/spreadsheets/d/1SX6NBoVAgQJ6U1MVXOaj8PK2l7WJ3RER9xtqwdhxkhw/edit?usp=sharing"",""ชลบุรี!I492"")"),50)</f>
        <v>50</v>
      </c>
      <c r="J597" s="487">
        <f ca="1">IFERROR(__xludf.DUMMYFUNCTION("IMPORTRANGE(""https://docs.google.com/spreadsheets/d/1SX6NBoVAgQJ6U1MVXOaj8PK2l7WJ3RER9xtqwdhxkhw/edit?usp=sharing"",""ชลบุรี!J492"")"),0)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IFERROR(__xludf.DUMMYFUNCTION("IMPORTRANGE(""https://docs.google.com/spreadsheets/d/1SX6NBoVAgQJ6U1MVXOaj8PK2l7WJ3RER9xtqwdhxkhw/edit?usp=sharing"",""ชลบุรี!L492"")"),4550)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IFERROR(__xludf.DUMMYFUNCTION("IMPORTRANGE(""https://docs.google.com/spreadsheets/d/1SX6NBoVAgQJ6U1MVXOaj8PK2l7WJ3RER9xtqwdhxkhw/edit?usp=sharing"",""ชลบุรี!M492"")"),300)</f>
        <v>300</v>
      </c>
      <c r="O597" s="412">
        <f t="shared" ref="O597:O601" ca="1" si="126">+IF(L597&gt;0,N597*100/L597,0)</f>
        <v>6.5934065934065931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IFERROR(__xludf.DUMMYFUNCTION("IMPORTRANGE(""https://docs.google.com/spreadsheets/d/1SX6NBoVAgQJ6U1MVXOaj8PK2l7WJ3RER9xtqwdhxkhw/edit?usp=sharing"",""ชลบุรี!L493"")"),0)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IFERROR(__xludf.DUMMYFUNCTION("IMPORTRANGE(""https://docs.google.com/spreadsheets/d/1SX6NBoVAgQJ6U1MVXOaj8PK2l7WJ3RER9xtqwdhxkhw/edit?usp=sharing"",""ชลบุรี!M493"")"),0)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IFERROR(__xludf.DUMMYFUNCTION("IMPORTRANGE(""https://docs.google.com/spreadsheets/d/1SX6NBoVAgQJ6U1MVXOaj8PK2l7WJ3RER9xtqwdhxkhw/edit?usp=sharing"",""ชลบุรี!L494"")"),4550)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IFERROR(__xludf.DUMMYFUNCTION("IMPORTRANGE(""https://docs.google.com/spreadsheets/d/1SX6NBoVAgQJ6U1MVXOaj8PK2l7WJ3RER9xtqwdhxkhw/edit?usp=sharing"",""ชลบุรี!M494"")"),300)</f>
        <v>300</v>
      </c>
      <c r="O599" s="169">
        <f t="shared" ca="1" si="126"/>
        <v>6.5934065934065931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IFERROR(__xludf.DUMMYFUNCTION("IMPORTRANGE(""https://docs.google.com/spreadsheets/d/1SX6NBoVAgQJ6U1MVXOaj8PK2l7WJ3RER9xtqwdhxkhw/edit?usp=sharing"",""ชลบุรี!L495"")"),0)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IFERROR(__xludf.DUMMYFUNCTION("IMPORTRANGE(""https://docs.google.com/spreadsheets/d/1SX6NBoVAgQJ6U1MVXOaj8PK2l7WJ3RER9xtqwdhxkhw/edit?usp=sharing"",""ชลบุรี!M495"")"),0)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IFERROR(__xludf.DUMMYFUNCTION("IMPORTRANGE(""https://docs.google.com/spreadsheets/d/1SX6NBoVAgQJ6U1MVXOaj8PK2l7WJ3RER9xtqwdhxkhw/edit?usp=sharing"",""ชลบุรี!L496"")"),4550)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IFERROR(__xludf.DUMMYFUNCTION("IMPORTRANGE(""https://docs.google.com/spreadsheets/d/1SX6NBoVAgQJ6U1MVXOaj8PK2l7WJ3RER9xtqwdhxkhw/edit?usp=sharing"",""ชลบุรี!M496"")"),300)</f>
        <v>300</v>
      </c>
      <c r="O601" s="169">
        <f t="shared" ca="1" si="126"/>
        <v>6.5934065934065931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IFERROR(__xludf.DUMMYFUNCTION("IMPORTRANGE(""https://docs.google.com/spreadsheets/d/1SX6NBoVAgQJ6U1MVXOaj8PK2l7WJ3RER9xtqwdhxkhw/edit?usp=sharing"",""ชลบุรี!M497"")"),0)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IFERROR(__xludf.DUMMYFUNCTION("IMPORTRANGE(""https://docs.google.com/spreadsheets/d/1SX6NBoVAgQJ6U1MVXOaj8PK2l7WJ3RER9xtqwdhxkhw/edit?usp=sharing"",""ชลบุรี!M498"")"),0)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IFERROR(__xludf.DUMMYFUNCTION("IMPORTRANGE(""https://docs.google.com/spreadsheets/d/1SX6NBoVAgQJ6U1MVXOaj8PK2l7WJ3RER9xtqwdhxkhw/edit?usp=sharing"",""ชลบุรี!M499"")"),0)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IFERROR(__xludf.DUMMYFUNCTION("IMPORTRANGE(""https://docs.google.com/spreadsheets/d/1SX6NBoVAgQJ6U1MVXOaj8PK2l7WJ3RER9xtqwdhxkhw/edit?usp=sharing"",""ชลบุรี!M500"")"),300)</f>
        <v>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IFERROR(__xludf.DUMMYFUNCTION("IMPORTRANGE(""https://docs.google.com/spreadsheets/d/1SX6NBoVAgQJ6U1MVXOaj8PK2l7WJ3RER9xtqwdhxkhw/edit?usp=sharing"",""ชลบุรี!J502"")"),0)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IFERROR(__xludf.DUMMYFUNCTION("IMPORTRANGE(""https://docs.google.com/spreadsheets/d/1SX6NBoVAgQJ6U1MVXOaj8PK2l7WJ3RER9xtqwdhxkhw/edit?usp=sharing"",""ชลบุรี!J503"")"),1)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IFERROR(__xludf.DUMMYFUNCTION("IMPORTRANGE(""https://docs.google.com/spreadsheets/d/1SX6NBoVAgQJ6U1MVXOaj8PK2l7WJ3RER9xtqwdhxkhw/edit?usp=sharing"",""ชลบุรี!J166"")"),0)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IFERROR(__xludf.DUMMYFUNCTION("IMPORTRANGE(""https://docs.google.com/spreadsheets/d/1SX6NBoVAgQJ6U1MVXOaj8PK2l7WJ3RER9xtqwdhxkhw/edit?usp=sharing"",""ชลบุรี!J166"")"),0)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IFERROR(__xludf.DUMMYFUNCTION("IMPORTRANGE(""https://docs.google.com/spreadsheets/d/1SX6NBoVAgQJ6U1MVXOaj8PK2l7WJ3RER9xtqwdhxkhw/edit?usp=sharing"",""ชลบุรี!I506"")"),50)</f>
        <v>50</v>
      </c>
      <c r="J611" s="162">
        <f ca="1">IFERROR(__xludf.DUMMYFUNCTION("IMPORTRANGE(""https://docs.google.com/spreadsheets/d/1SX6NBoVAgQJ6U1MVXOaj8PK2l7WJ3RER9xtqwdhxkhw/edit?usp=sharing"",""ชลบุรี!J506"")"),0)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IFERROR(__xludf.DUMMYFUNCTION("IMPORTRANGE(""https://docs.google.com/spreadsheets/d/1SX6NBoVAgQJ6U1MVXOaj8PK2l7WJ3RER9xtqwdhxkhw/edit?usp=sharing"",""ชลบุรี!I507"")"),0)</f>
        <v>0</v>
      </c>
      <c r="J612" s="198">
        <f ca="1">IFERROR(__xludf.DUMMYFUNCTION("IMPORTRANGE(""https://docs.google.com/spreadsheets/d/1SX6NBoVAgQJ6U1MVXOaj8PK2l7WJ3RER9xtqwdhxkhw/edit?usp=sharing"",""ชลบุรี!J507"")"),0)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IFERROR(__xludf.DUMMYFUNCTION("IMPORTRANGE(""https://docs.google.com/spreadsheets/d/1SX6NBoVAgQJ6U1MVXOaj8PK2l7WJ3RER9xtqwdhxkhw/edit?usp=sharing"",""ชลบุรี!I508"")"),0)</f>
        <v>0</v>
      </c>
      <c r="J613" s="198">
        <f ca="1">IFERROR(__xludf.DUMMYFUNCTION("IMPORTRANGE(""https://docs.google.com/spreadsheets/d/1SX6NBoVAgQJ6U1MVXOaj8PK2l7WJ3RER9xtqwdhxkhw/edit?usp=sharing"",""ชลบุรี!J508"")"),0)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IFERROR(__xludf.DUMMYFUNCTION("IMPORTRANGE(""https://docs.google.com/spreadsheets/d/1SX6NBoVAgQJ6U1MVXOaj8PK2l7WJ3RER9xtqwdhxkhw/edit?usp=sharing"",""ชลบุรี!I509"")"),0)</f>
        <v>0</v>
      </c>
      <c r="J614" s="198">
        <f ca="1">IFERROR(__xludf.DUMMYFUNCTION("IMPORTRANGE(""https://docs.google.com/spreadsheets/d/1SX6NBoVAgQJ6U1MVXOaj8PK2l7WJ3RER9xtqwdhxkhw/edit?usp=sharing"",""ชลบุรี!J509"")"),0)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IFERROR(__xludf.DUMMYFUNCTION("IMPORTRANGE(""https://docs.google.com/spreadsheets/d/1SX6NBoVAgQJ6U1MVXOaj8PK2l7WJ3RER9xtqwdhxkhw/edit?usp=sharing"",""ชลบุรี!I510"")"),0)</f>
        <v>0</v>
      </c>
      <c r="J615" s="198">
        <f ca="1">IFERROR(__xludf.DUMMYFUNCTION("IMPORTRANGE(""https://docs.google.com/spreadsheets/d/1SX6NBoVAgQJ6U1MVXOaj8PK2l7WJ3RER9xtqwdhxkhw/edit?usp=sharing"",""ชลบุรี!J510"")"),0)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IFERROR(__xludf.DUMMYFUNCTION("IMPORTRANGE(""https://docs.google.com/spreadsheets/d/1SX6NBoVAgQJ6U1MVXOaj8PK2l7WJ3RER9xtqwdhxkhw/edit?usp=sharing"",""ชลบุรี!I511"")"),0)</f>
        <v>0</v>
      </c>
      <c r="J616" s="198">
        <f ca="1">IFERROR(__xludf.DUMMYFUNCTION("IMPORTRANGE(""https://docs.google.com/spreadsheets/d/1SX6NBoVAgQJ6U1MVXOaj8PK2l7WJ3RER9xtqwdhxkhw/edit?usp=sharing"",""ชลบุรี!J511"")"),0)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IFERROR(__xludf.DUMMYFUNCTION("IMPORTRANGE(""https://docs.google.com/spreadsheets/d/1SX6NBoVAgQJ6U1MVXOaj8PK2l7WJ3RER9xtqwdhxkhw/edit?usp=sharing"",""ชลบุรี!I512"")"),0)</f>
        <v>0</v>
      </c>
      <c r="J617" s="188">
        <f ca="1">IFERROR(__xludf.DUMMYFUNCTION("IMPORTRANGE(""https://docs.google.com/spreadsheets/d/1SX6NBoVAgQJ6U1MVXOaj8PK2l7WJ3RER9xtqwdhxkhw/edit?usp=sharing"",""ชลบุรี!J512"")"),0)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IFERROR(__xludf.DUMMYFUNCTION("IMPORTRANGE(""https://docs.google.com/spreadsheets/d/1SX6NBoVAgQJ6U1MVXOaj8PK2l7WJ3RER9xtqwdhxkhw/edit?usp=sharing"",""ชลบุรี!I513"")"),0)</f>
        <v>0</v>
      </c>
      <c r="J618" s="189">
        <f ca="1">IFERROR(__xludf.DUMMYFUNCTION("IMPORTRANGE(""https://docs.google.com/spreadsheets/d/1SX6NBoVAgQJ6U1MVXOaj8PK2l7WJ3RER9xtqwdhxkhw/edit?usp=sharing"",""ชลบุรี!J513"")"),0)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IFERROR(__xludf.DUMMYFUNCTION("IMPORTRANGE(""https://docs.google.com/spreadsheets/d/1SX6NBoVAgQJ6U1MVXOaj8PK2l7WJ3RER9xtqwdhxkhw/edit?usp=sharing"",""ชลบุรี!I514"")"),0)</f>
        <v>0</v>
      </c>
      <c r="J619" s="189">
        <f ca="1">IFERROR(__xludf.DUMMYFUNCTION("IMPORTRANGE(""https://docs.google.com/spreadsheets/d/1SX6NBoVAgQJ6U1MVXOaj8PK2l7WJ3RER9xtqwdhxkhw/edit?usp=sharing"",""ชลบุรี!J514"")"),0)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IFERROR(__xludf.DUMMYFUNCTION("IMPORTRANGE(""https://docs.google.com/spreadsheets/d/1SX6NBoVAgQJ6U1MVXOaj8PK2l7WJ3RER9xtqwdhxkhw/edit?usp=sharing"",""ชลบุรี!I515"")"),0)</f>
        <v>0</v>
      </c>
      <c r="J620" s="203">
        <f ca="1">IFERROR(__xludf.DUMMYFUNCTION("IMPORTRANGE(""https://docs.google.com/spreadsheets/d/1SX6NBoVAgQJ6U1MVXOaj8PK2l7WJ3RER9xtqwdhxkhw/edit?usp=sharing"",""ชลบุรี!J515"")"),0)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IFERROR(__xludf.DUMMYFUNCTION("IMPORTRANGE(""https://docs.google.com/spreadsheets/d/1SX6NBoVAgQJ6U1MVXOaj8PK2l7WJ3RER9xtqwdhxkhw/edit?usp=sharing"",""ชลบุรี!I516"")"),0)</f>
        <v>0</v>
      </c>
      <c r="J621" s="203">
        <f ca="1">IFERROR(__xludf.DUMMYFUNCTION("IMPORTRANGE(""https://docs.google.com/spreadsheets/d/1SX6NBoVAgQJ6U1MVXOaj8PK2l7WJ3RER9xtqwdhxkhw/edit?usp=sharing"",""ชลบุรี!J516"")"),0)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IFERROR(__xludf.DUMMYFUNCTION("IMPORTRANGE(""https://docs.google.com/spreadsheets/d/1SX6NBoVAgQJ6U1MVXOaj8PK2l7WJ3RER9xtqwdhxkhw/edit?usp=sharing"",""ชลบุรี!I517"")"),0)</f>
        <v>0</v>
      </c>
      <c r="J622" s="189">
        <f ca="1">IFERROR(__xludf.DUMMYFUNCTION("IMPORTRANGE(""https://docs.google.com/spreadsheets/d/1SX6NBoVAgQJ6U1MVXOaj8PK2l7WJ3RER9xtqwdhxkhw/edit?usp=sharing"",""ชลบุรี!J517"")"),0)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IFERROR(__xludf.DUMMYFUNCTION("IMPORTRANGE(""https://docs.google.com/spreadsheets/d/1SX6NBoVAgQJ6U1MVXOaj8PK2l7WJ3RER9xtqwdhxkhw/edit?usp=sharing"",""ชลบุรี!I518"")"),0)</f>
        <v>0</v>
      </c>
      <c r="J623" s="189">
        <f ca="1">IFERROR(__xludf.DUMMYFUNCTION("IMPORTRANGE(""https://docs.google.com/spreadsheets/d/1SX6NBoVAgQJ6U1MVXOaj8PK2l7WJ3RER9xtqwdhxkhw/edit?usp=sharing"",""ชลบุรี!J518"")"),0)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IFERROR(__xludf.DUMMYFUNCTION("IMPORTRANGE(""https://docs.google.com/spreadsheets/d/1SX6NBoVAgQJ6U1MVXOaj8PK2l7WJ3RER9xtqwdhxkhw/edit?usp=sharing"",""ชลบุรี!I519"")"),0)</f>
        <v>0</v>
      </c>
      <c r="J624" s="188">
        <f ca="1">IFERROR(__xludf.DUMMYFUNCTION("IMPORTRANGE(""https://docs.google.com/spreadsheets/d/1SX6NBoVAgQJ6U1MVXOaj8PK2l7WJ3RER9xtqwdhxkhw/edit?usp=sharing"",""ชลบุรี!J519"")"),0)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IFERROR(__xludf.DUMMYFUNCTION("IMPORTRANGE(""https://docs.google.com/spreadsheets/d/1SX6NBoVAgQJ6U1MVXOaj8PK2l7WJ3RER9xtqwdhxkhw/edit?usp=sharing"",""ชลบุรี!I520"")"),0)</f>
        <v>0</v>
      </c>
      <c r="J625" s="189">
        <f ca="1">IFERROR(__xludf.DUMMYFUNCTION("IMPORTRANGE(""https://docs.google.com/spreadsheets/d/1SX6NBoVAgQJ6U1MVXOaj8PK2l7WJ3RER9xtqwdhxkhw/edit?usp=sharing"",""ชลบุรี!J520"")"),0)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IFERROR(__xludf.DUMMYFUNCTION("IMPORTRANGE(""https://docs.google.com/spreadsheets/d/1SX6NBoVAgQJ6U1MVXOaj8PK2l7WJ3RER9xtqwdhxkhw/edit?usp=sharing"",""ชลบุรี!I521"")"),0)</f>
        <v>0</v>
      </c>
      <c r="J626" s="189">
        <f ca="1">IFERROR(__xludf.DUMMYFUNCTION("IMPORTRANGE(""https://docs.google.com/spreadsheets/d/1SX6NBoVAgQJ6U1MVXOaj8PK2l7WJ3RER9xtqwdhxkhw/edit?usp=sharing"",""ชลบุรี!J521"")"),0)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IFERROR(__xludf.DUMMYFUNCTION("IMPORTRANGE(""https://docs.google.com/spreadsheets/d/1SX6NBoVAgQJ6U1MVXOaj8PK2l7WJ3RER9xtqwdhxkhw/edit?usp=sharing"",""ชลบุรี!I523"")"),9955669.64)</f>
        <v>9955669.6400000006</v>
      </c>
      <c r="J628" s="341">
        <f ca="1">IFERROR(__xludf.DUMMYFUNCTION("IMPORTRANGE(""https://docs.google.com/spreadsheets/d/1SX6NBoVAgQJ6U1MVXOaj8PK2l7WJ3RER9xtqwdhxkhw/edit?usp=sharing"",""ชลบุรี!J523"")"),2629669.64)</f>
        <v>2629669.64</v>
      </c>
      <c r="K628" s="342">
        <f t="shared" ref="K628:K635" ca="1" si="129">IF(I628&gt;0,J628*100/I628,0)</f>
        <v>26.413789680550305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IFERROR(__xludf.DUMMYFUNCTION("IMPORTRANGE(""https://docs.google.com/spreadsheets/d/1SX6NBoVAgQJ6U1MVXOaj8PK2l7WJ3RER9xtqwdhxkhw/edit?usp=sharing"",""ชลบุรี!I524"")"),249)</f>
        <v>249</v>
      </c>
      <c r="J629" s="341">
        <f ca="1">IFERROR(__xludf.DUMMYFUNCTION("IMPORTRANGE(""https://docs.google.com/spreadsheets/d/1SX6NBoVAgQJ6U1MVXOaj8PK2l7WJ3RER9xtqwdhxkhw/edit?usp=sharing"",""ชลบุรี!J524"")"),60)</f>
        <v>60</v>
      </c>
      <c r="K629" s="342">
        <f t="shared" ca="1" si="129"/>
        <v>24.096385542168676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IFERROR(__xludf.DUMMYFUNCTION("IMPORTRANGE(""https://docs.google.com/spreadsheets/d/1SX6NBoVAgQJ6U1MVXOaj8PK2l7WJ3RER9xtqwdhxkhw/edit?usp=sharing"",""ชลบุรี!I525"")"),186084.82)</f>
        <v>186084.82</v>
      </c>
      <c r="J630" s="341">
        <f ca="1">IFERROR(__xludf.DUMMYFUNCTION("IMPORTRANGE(""https://docs.google.com/spreadsheets/d/1SX6NBoVAgQJ6U1MVXOaj8PK2l7WJ3RER9xtqwdhxkhw/edit?usp=sharing"",""ชลบุรี!J525"")"),142536.68)</f>
        <v>142536.68</v>
      </c>
      <c r="K630" s="342">
        <f t="shared" ca="1" si="129"/>
        <v>76.597693460433788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IFERROR(__xludf.DUMMYFUNCTION("IMPORTRANGE(""https://docs.google.com/spreadsheets/d/1SX6NBoVAgQJ6U1MVXOaj8PK2l7WJ3RER9xtqwdhxkhw/edit?usp=sharing"",""ชลบุรี!I526"")"),7)</f>
        <v>7</v>
      </c>
      <c r="J631" s="341">
        <f ca="1">IFERROR(__xludf.DUMMYFUNCTION("IMPORTRANGE(""https://docs.google.com/spreadsheets/d/1SX6NBoVAgQJ6U1MVXOaj8PK2l7WJ3RER9xtqwdhxkhw/edit?usp=sharing"",""ชลบุรี!J526"")"),7)</f>
        <v>7</v>
      </c>
      <c r="K631" s="342">
        <f t="shared" ca="1" si="129"/>
        <v>100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IFERROR(__xludf.DUMMYFUNCTION("IMPORTRANGE(""https://docs.google.com/spreadsheets/d/1SX6NBoVAgQJ6U1MVXOaj8PK2l7WJ3RER9xtqwdhxkhw/edit?usp=sharing"",""ชลบุรี!I527"")"),0)</f>
        <v>0</v>
      </c>
      <c r="J632" s="341">
        <f ca="1">IFERROR(__xludf.DUMMYFUNCTION("IMPORTRANGE(""https://docs.google.com/spreadsheets/d/1SX6NBoVAgQJ6U1MVXOaj8PK2l7WJ3RER9xtqwdhxkhw/edit?usp=sharing"",""ชลบุรี!J527"")"),0)</f>
        <v>0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IFERROR(__xludf.DUMMYFUNCTION("IMPORTRANGE(""https://docs.google.com/spreadsheets/d/1SX6NBoVAgQJ6U1MVXOaj8PK2l7WJ3RER9xtqwdhxkhw/edit?usp=sharing"",""ชลบุรี!I528"")"),0)</f>
        <v>0</v>
      </c>
      <c r="J633" s="341">
        <f ca="1">IFERROR(__xludf.DUMMYFUNCTION("IMPORTRANGE(""https://docs.google.com/spreadsheets/d/1SX6NBoVAgQJ6U1MVXOaj8PK2l7WJ3RER9xtqwdhxkhw/edit?usp=sharing"",""ชลบุรี!J528"")"),0)</f>
        <v>0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IFERROR(__xludf.DUMMYFUNCTION("IMPORTRANGE(""https://docs.google.com/spreadsheets/d/1SX6NBoVAgQJ6U1MVXOaj8PK2l7WJ3RER9xtqwdhxkhw/edit?usp=sharing"",""ชลบุรี!I529"")"),5530000)</f>
        <v>5530000</v>
      </c>
      <c r="J634" s="341">
        <f ca="1">IFERROR(__xludf.DUMMYFUNCTION("IMPORTRANGE(""https://docs.google.com/spreadsheets/d/1SX6NBoVAgQJ6U1MVXOaj8PK2l7WJ3RER9xtqwdhxkhw/edit?usp=sharing"",""ชลบุรี!J529"")"),1960000)</f>
        <v>1960000</v>
      </c>
      <c r="K634" s="342">
        <f t="shared" ca="1" si="129"/>
        <v>35.443037974683541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IFERROR(__xludf.DUMMYFUNCTION("IMPORTRANGE(""https://docs.google.com/spreadsheets/d/1SX6NBoVAgQJ6U1MVXOaj8PK2l7WJ3RER9xtqwdhxkhw/edit?usp=sharing"",""ชลบุรี!I530"")"),115)</f>
        <v>115</v>
      </c>
      <c r="J635" s="504">
        <f ca="1">IFERROR(__xludf.DUMMYFUNCTION("IMPORTRANGE(""https://docs.google.com/spreadsheets/d/1SX6NBoVAgQJ6U1MVXOaj8PK2l7WJ3RER9xtqwdhxkhw/edit?usp=sharing"",""ชลบุรี!J530"")"),40)</f>
        <v>40</v>
      </c>
      <c r="K635" s="486">
        <f t="shared" ca="1" si="129"/>
        <v>34.782608695652172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G568" sqref="G56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246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3430699</v>
      </c>
      <c r="M8" s="23">
        <f t="shared" ca="1" si="0"/>
        <v>2035657.12</v>
      </c>
      <c r="N8" s="23">
        <f t="shared" ca="1" si="0"/>
        <v>1804164.0099999998</v>
      </c>
      <c r="O8" s="22">
        <f t="shared" ref="O8:O16" ca="1" si="1">IF(L8&gt;0,N8*100/L8,0)</f>
        <v>52.58881673967899</v>
      </c>
      <c r="P8" s="22">
        <f t="shared" ref="P8:P16" ca="1" si="2">IF(M8&gt;0,N8*100/M8,0)</f>
        <v>88.628089292365686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3430699</v>
      </c>
      <c r="M10" s="30">
        <f t="shared" ca="1" si="4"/>
        <v>2035657.12</v>
      </c>
      <c r="N10" s="30">
        <f t="shared" ca="1" si="4"/>
        <v>1804164.0099999998</v>
      </c>
      <c r="O10" s="29">
        <f t="shared" ca="1" si="1"/>
        <v>52.58881673967899</v>
      </c>
      <c r="P10" s="29">
        <f t="shared" ca="1" si="2"/>
        <v>88.628089292365686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3291699</v>
      </c>
      <c r="M12" s="38">
        <f t="shared" ca="1" si="6"/>
        <v>1896657.12</v>
      </c>
      <c r="N12" s="38">
        <f t="shared" ca="1" si="6"/>
        <v>1665164.0099999998</v>
      </c>
      <c r="O12" s="38">
        <f t="shared" ca="1" si="1"/>
        <v>50.586764160392541</v>
      </c>
      <c r="P12" s="38">
        <f t="shared" ca="1" si="2"/>
        <v>87.794677933141628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1582800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1708899</v>
      </c>
      <c r="M14" s="38">
        <f t="shared" si="8"/>
        <v>0</v>
      </c>
      <c r="N14" s="38">
        <f t="shared" ca="1" si="8"/>
        <v>474025</v>
      </c>
      <c r="O14" s="38">
        <f t="shared" ca="1" si="1"/>
        <v>27.738620012066249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2597025</v>
      </c>
      <c r="M18" s="23">
        <f t="shared" ca="1" si="11"/>
        <v>2035657.12</v>
      </c>
      <c r="N18" s="23">
        <f t="shared" ca="1" si="11"/>
        <v>1330139.0099999998</v>
      </c>
      <c r="O18" s="22">
        <f t="shared" ref="O18:O20" ca="1" si="12">IF(L18&gt;0,N18*100/L18,0)</f>
        <v>51.217797672336602</v>
      </c>
      <c r="P18" s="22">
        <f t="shared" ref="P18:P26" ca="1" si="13">IF(M18&gt;0,N18*100/M18,0)</f>
        <v>65.341996789714742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2597025</v>
      </c>
      <c r="M20" s="30">
        <f t="shared" ca="1" si="15"/>
        <v>2035657.12</v>
      </c>
      <c r="N20" s="30">
        <f t="shared" ca="1" si="15"/>
        <v>1330139.0099999998</v>
      </c>
      <c r="O20" s="29">
        <f t="shared" ca="1" si="12"/>
        <v>51.217797672336602</v>
      </c>
      <c r="P20" s="29">
        <f t="shared" ca="1" si="13"/>
        <v>65.341996789714742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2458025</v>
      </c>
      <c r="M22" s="41">
        <f t="shared" ca="1" si="18"/>
        <v>1896657.12</v>
      </c>
      <c r="N22" s="38">
        <f t="shared" ca="1" si="18"/>
        <v>1191139.0099999998</v>
      </c>
      <c r="O22" s="38">
        <f t="shared" ca="1" si="17"/>
        <v>48.459190203517039</v>
      </c>
      <c r="P22" s="38">
        <f t="shared" ca="1" si="13"/>
        <v>62.802021379594414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1582800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875225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833674</v>
      </c>
      <c r="M28" s="23">
        <f t="shared" si="23"/>
        <v>0</v>
      </c>
      <c r="N28" s="23">
        <f t="shared" ca="1" si="23"/>
        <v>474025</v>
      </c>
      <c r="O28" s="22">
        <f t="shared" ref="O28:O30" ca="1" si="24">IF(L28&gt;0,N28*100/L28,0)</f>
        <v>56.859755731856815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833674</v>
      </c>
      <c r="M30" s="30">
        <f t="shared" si="27"/>
        <v>0</v>
      </c>
      <c r="N30" s="30">
        <f t="shared" ca="1" si="27"/>
        <v>474025</v>
      </c>
      <c r="O30" s="29">
        <f t="shared" ca="1" si="24"/>
        <v>56.859755731856815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833674</v>
      </c>
      <c r="M32" s="38">
        <f t="shared" si="30"/>
        <v>0</v>
      </c>
      <c r="N32" s="38">
        <f t="shared" ca="1" si="30"/>
        <v>474025</v>
      </c>
      <c r="O32" s="38">
        <f t="shared" ca="1" si="29"/>
        <v>56.859755731856815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833674</v>
      </c>
      <c r="M34" s="38">
        <f t="shared" si="32"/>
        <v>0</v>
      </c>
      <c r="N34" s="38">
        <f t="shared" ca="1" si="32"/>
        <v>474025</v>
      </c>
      <c r="O34" s="38">
        <f t="shared" ca="1" si="29"/>
        <v>56.859755731856815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2597025</v>
      </c>
      <c r="M37" s="54">
        <f t="shared" ca="1" si="33"/>
        <v>2035657.12</v>
      </c>
      <c r="N37" s="54">
        <f t="shared" ca="1" si="33"/>
        <v>1330139.0099999998</v>
      </c>
      <c r="O37" s="55">
        <f t="shared" ca="1" si="29"/>
        <v>51.217797672336602</v>
      </c>
      <c r="P37" s="55">
        <f t="shared" ca="1" si="25"/>
        <v>65.341996789714742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620000</v>
      </c>
      <c r="M41" s="78">
        <f t="shared" ca="1" si="34"/>
        <v>465100</v>
      </c>
      <c r="N41" s="78">
        <f t="shared" ca="1" si="34"/>
        <v>301301.42</v>
      </c>
      <c r="O41" s="77">
        <f t="shared" ref="O41:O43" ca="1" si="35">IF(L41&gt;0,N41*100/L41,0)</f>
        <v>48.597003225806453</v>
      </c>
      <c r="P41" s="77">
        <f t="shared" ref="P41:P43" ca="1" si="36">IF(M41&gt;0,N41*100/M41,0)</f>
        <v>64.782072672543535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620000</v>
      </c>
      <c r="M43" s="78">
        <f t="shared" ca="1" si="38"/>
        <v>465100</v>
      </c>
      <c r="N43" s="78">
        <f t="shared" ca="1" si="38"/>
        <v>301301.42</v>
      </c>
      <c r="O43" s="77">
        <f t="shared" ca="1" si="35"/>
        <v>48.597003225806453</v>
      </c>
      <c r="P43" s="77">
        <f t="shared" ca="1" si="36"/>
        <v>64.782072672543535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620000</v>
      </c>
      <c r="M45" s="49">
        <f ca="1">IFERROR(__xludf.DUMMYFUNCTION("IMPORTRANGE(""https://docs.google.com/spreadsheets/d/1Yj_ptqi66GCucihVvJfMjLAmec39IyEx_6qawtMGysU/edit?usp=sharing"",""สบก!Q63"")"),465100)</f>
        <v>465100</v>
      </c>
      <c r="N45" s="49">
        <f ca="1">IFERROR(__xludf.DUMMYFUNCTION("IMPORTRANGE(""https://docs.google.com/spreadsheets/d/1Yj_ptqi66GCucihVvJfMjLAmec39IyEx_6qawtMGysU/edit?usp=sharing"",""สบก!R63"")"),301301.42)</f>
        <v>301301.42</v>
      </c>
      <c r="O45" s="38">
        <f ca="1">IF(L45&gt;0,N45*100/L45,0)</f>
        <v>48.597003225806453</v>
      </c>
      <c r="P45" s="38">
        <f ca="1">IF(M45&gt;0,N45*100/M45,0)</f>
        <v>64.782072672543535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IFERROR(__xludf.DUMMYFUNCTION("IMPORTRANGE(""https://docs.google.com/spreadsheets/d/1Yj_ptqi66GCucihVvJfMjLAmec39IyEx_6qawtMGysU/edit?usp=sharing"",""สบก!M63"")"),620000)</f>
        <v>620000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IFERROR(__xludf.DUMMYFUNCTION("IMPORTRANGE(""https://docs.google.com/spreadsheets/d/1Yj_ptqi66GCucihVvJfMjLAmec39IyEx_6qawtMGysU/edit?usp=sharing"",""สบก!N63"")"),0)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IFERROR(__xludf.DUMMYFUNCTION("IMPORTRANGE(""https://docs.google.com/spreadsheets/d/1Yj_ptqi66GCucihVvJfMjLAmec39IyEx_6qawtMGysU/edit?usp=sharing"",""สบก!O63"")"),0)</f>
        <v>0</v>
      </c>
      <c r="M49" s="49"/>
      <c r="N49" s="49">
        <f ca="1">IFERROR(__xludf.DUMMYFUNCTION("IMPORTRANGE(""https://docs.google.com/spreadsheets/d/1Yj_ptqi66GCucihVvJfMjLAmec39IyEx_6qawtMGysU/edit?usp=sharing"",""สบก!S63"")"),0)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355200</v>
      </c>
      <c r="M53" s="121">
        <f t="shared" ca="1" si="39"/>
        <v>280187.12</v>
      </c>
      <c r="N53" s="121">
        <f t="shared" ca="1" si="39"/>
        <v>156556</v>
      </c>
      <c r="O53" s="120">
        <f t="shared" ref="O53:O55" ca="1" si="40">IF(L53&gt;0,N53*100/L53,0)</f>
        <v>44.075450450450454</v>
      </c>
      <c r="P53" s="120">
        <f t="shared" ref="P53:P55" ca="1" si="41">IF(M53&gt;0,N53*100/M53,0)</f>
        <v>55.875516333513119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355200</v>
      </c>
      <c r="M55" s="121">
        <f t="shared" ca="1" si="43"/>
        <v>280187.12</v>
      </c>
      <c r="N55" s="121">
        <f t="shared" ca="1" si="43"/>
        <v>156556</v>
      </c>
      <c r="O55" s="120">
        <f t="shared" ca="1" si="40"/>
        <v>44.075450450450454</v>
      </c>
      <c r="P55" s="120">
        <f t="shared" ca="1" si="41"/>
        <v>55.875516333513119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355200</v>
      </c>
      <c r="M57" s="49">
        <f ca="1">IFERROR(__xludf.DUMMYFUNCTION("IMPORTRANGE(""https://docs.google.com/spreadsheets/d/1Yj_ptqi66GCucihVvJfMjLAmec39IyEx_6qawtMGysU/edit?usp=sharing"",""สบก!Z63"")"),280187.12)</f>
        <v>280187.12</v>
      </c>
      <c r="N57" s="49">
        <f ca="1">IFERROR(__xludf.DUMMYFUNCTION("IMPORTRANGE(""https://docs.google.com/spreadsheets/d/1Yj_ptqi66GCucihVvJfMjLAmec39IyEx_6qawtMGysU/edit?usp=sharing"",""สบก!AA63"")"),156556)</f>
        <v>156556</v>
      </c>
      <c r="O57" s="38">
        <f ca="1">IF(L57&gt;0,N57*100/L57,0)</f>
        <v>44.075450450450454</v>
      </c>
      <c r="P57" s="38">
        <f ca="1">IF(M57&gt;0,N57*100/M57,0)</f>
        <v>55.875516333513119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IFERROR(__xludf.DUMMYFUNCTION("IMPORTRANGE(""https://docs.google.com/spreadsheets/d/1Yj_ptqi66GCucihVvJfMjLAmec39IyEx_6qawtMGysU/edit?usp=sharing"",""สบก!V63"")"),355200)</f>
        <v>355200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IFERROR(__xludf.DUMMYFUNCTION("IMPORTRANGE(""https://docs.google.com/spreadsheets/d/1Yj_ptqi66GCucihVvJfMjLAmec39IyEx_6qawtMGysU/edit?usp=sharing"",""สบก!W63"")"),0)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IFERROR(__xludf.DUMMYFUNCTION("IMPORTRANGE(""https://docs.google.com/spreadsheets/d/1Yj_ptqi66GCucihVvJfMjLAmec39IyEx_6qawtMGysU/edit?usp=sharing"",""สบก!X63"")"),0)</f>
        <v>0</v>
      </c>
      <c r="M61" s="49"/>
      <c r="N61" s="49">
        <f ca="1">IFERROR(__xludf.DUMMYFUNCTION("IMPORTRANGE(""https://docs.google.com/spreadsheets/d/1Yj_ptqi66GCucihVvJfMjLAmec39IyEx_6qawtMGysU/edit?usp=sharing"",""สบก!AB63"")"),0)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IFERROR(__xludf.DUMMYFUNCTION("IMPORTRANGE(""https://docs.google.com/spreadsheets/d/1SX6NBoVAgQJ6U1MVXOaj8PK2l7WJ3RER9xtqwdhxkhw/edit?usp=sharing"",""ชัยนาท!I9"")"),1)</f>
        <v>1</v>
      </c>
      <c r="J64" s="142">
        <f ca="1">IFERROR(__xludf.DUMMYFUNCTION("IMPORTRANGE(""https://docs.google.com/spreadsheets/d/1SX6NBoVAgQJ6U1MVXOaj8PK2l7WJ3RER9xtqwdhxkhw/edit?usp=sharing"",""ชัยนาท!J9"")"),1)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IFERROR(__xludf.DUMMYFUNCTION("IMPORTRANGE(""https://docs.google.com/spreadsheets/d/1SX6NBoVAgQJ6U1MVXOaj8PK2l7WJ3RER9xtqwdhxkhw/edit?usp=sharing"",""ชัยนาท!I10"")"),30)</f>
        <v>30</v>
      </c>
      <c r="J65" s="142">
        <f ca="1">IFERROR(__xludf.DUMMYFUNCTION("IMPORTRANGE(""https://docs.google.com/spreadsheets/d/1SX6NBoVAgQJ6U1MVXOaj8PK2l7WJ3RER9xtqwdhxkhw/edit?usp=sharing"",""ชัยนาท!J10"")"),30)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453800</v>
      </c>
      <c r="M66" s="152">
        <f t="shared" ca="1" si="45"/>
        <v>371020</v>
      </c>
      <c r="N66" s="152">
        <f t="shared" ca="1" si="45"/>
        <v>262785</v>
      </c>
      <c r="O66" s="151">
        <f t="shared" ref="O66:O68" ca="1" si="46">IF(L66&gt;0,N66*100/L66,0)</f>
        <v>57.907668576465404</v>
      </c>
      <c r="P66" s="151">
        <f t="shared" ref="P66:P68" ca="1" si="47">IF(M66&gt;0,N66*100/M66,0)</f>
        <v>70.827718182308232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453800</v>
      </c>
      <c r="M68" s="157">
        <f t="shared" ca="1" si="49"/>
        <v>371020</v>
      </c>
      <c r="N68" s="157">
        <f t="shared" ca="1" si="49"/>
        <v>262785</v>
      </c>
      <c r="O68" s="156">
        <f t="shared" ca="1" si="46"/>
        <v>57.907668576465404</v>
      </c>
      <c r="P68" s="156">
        <f t="shared" ca="1" si="47"/>
        <v>70.827718182308232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453800</v>
      </c>
      <c r="M70" s="168">
        <f ca="1">IFERROR(__xludf.DUMMYFUNCTION("IMPORTRANGE(""https://docs.google.com/spreadsheets/d/1Yj_ptqi66GCucihVvJfMjLAmec39IyEx_6qawtMGysU/edit?usp=sharing"",""สบก!AI63"")"),371020)</f>
        <v>371020</v>
      </c>
      <c r="N70" s="169">
        <f ca="1">IFERROR(__xludf.DUMMYFUNCTION("IMPORTRANGE(""https://docs.google.com/spreadsheets/d/1Yj_ptqi66GCucihVvJfMjLAmec39IyEx_6qawtMGysU/edit?usp=sharing"",""สบก!AJ63"")"),262785)</f>
        <v>262785</v>
      </c>
      <c r="O70" s="169">
        <f ca="1">IF(L70&gt;0,N70*100/L70,0)</f>
        <v>57.907668576465404</v>
      </c>
      <c r="P70" s="169">
        <f ca="1">IF(M70&gt;0,N70*100/M70,0)</f>
        <v>70.827718182308232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IFERROR(__xludf.DUMMYFUNCTION("IMPORTRANGE(""https://docs.google.com/spreadsheets/d/1Yj_ptqi66GCucihVvJfMjLAmec39IyEx_6qawtMGysU/edit?usp=sharing"",""สบก!AE63"")"),81800)</f>
        <v>81800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IFERROR(__xludf.DUMMYFUNCTION("IMPORTRANGE(""https://docs.google.com/spreadsheets/d/1Yj_ptqi66GCucihVvJfMjLAmec39IyEx_6qawtMGysU/edit?usp=sharing"",""สบก!AF63"")"),372000)</f>
        <v>372000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IFERROR(__xludf.DUMMYFUNCTION("IMPORTRANGE(""https://docs.google.com/spreadsheets/d/1Yj_ptqi66GCucihVvJfMjLAmec39IyEx_6qawtMGysU/edit?usp=sharing"",""สบก!AG63"")"),0)</f>
        <v>0</v>
      </c>
      <c r="M74" s="49"/>
      <c r="N74" s="49">
        <f ca="1">IFERROR(__xludf.DUMMYFUNCTION("IMPORTRANGE(""https://docs.google.com/spreadsheets/d/1Yj_ptqi66GCucihVvJfMjLAmec39IyEx_6qawtMGysU/edit?usp=sharing"",""สบก!AK63"")"),0)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IFERROR(__xludf.DUMMYFUNCTION("IMPORTRANGE(""https://docs.google.com/spreadsheets/d/1SX6NBoVAgQJ6U1MVXOaj8PK2l7WJ3RER9xtqwdhxkhw/edit?usp=sharing"",""ชัยนาท!J16"")"),0)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IFERROR(__xludf.DUMMYFUNCTION("IMPORTRANGE(""https://docs.google.com/spreadsheets/d/1SX6NBoVAgQJ6U1MVXOaj8PK2l7WJ3RER9xtqwdhxkhw/edit?usp=sharing"",""ชัยนาท!J17"")"),1)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IFERROR(__xludf.DUMMYFUNCTION("IMPORTRANGE(""https://docs.google.com/spreadsheets/d/1SX6NBoVAgQJ6U1MVXOaj8PK2l7WJ3RER9xtqwdhxkhw/edit?usp=sharing"",""ชัยนาท!J18"")"),1)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IFERROR(__xludf.DUMMYFUNCTION("IMPORTRANGE(""https://docs.google.com/spreadsheets/d/1SX6NBoVAgQJ6U1MVXOaj8PK2l7WJ3RER9xtqwdhxkhw/edit?usp=sharing"",""ชัยนาท!J19"")"),1)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IFERROR(__xludf.DUMMYFUNCTION("IMPORTRANGE(""https://docs.google.com/spreadsheets/d/1SX6NBoVAgQJ6U1MVXOaj8PK2l7WJ3RER9xtqwdhxkhw/edit?usp=sharing"",""ชัยนาท!I20"")"),1)</f>
        <v>1</v>
      </c>
      <c r="J80" s="201">
        <f ca="1">IFERROR(__xludf.DUMMYFUNCTION("IMPORTRANGE(""https://docs.google.com/spreadsheets/d/1SX6NBoVAgQJ6U1MVXOaj8PK2l7WJ3RER9xtqwdhxkhw/edit?usp=sharing"",""ชัยนาท!J20"")"),1)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IFERROR(__xludf.DUMMYFUNCTION("IMPORTRANGE(""https://docs.google.com/spreadsheets/d/1SX6NBoVAgQJ6U1MVXOaj8PK2l7WJ3RER9xtqwdhxkhw/edit?usp=sharing"",""ชัยนาท!I21"")"),30)</f>
        <v>30</v>
      </c>
      <c r="J81" s="201">
        <f ca="1">IFERROR(__xludf.DUMMYFUNCTION("IMPORTRANGE(""https://docs.google.com/spreadsheets/d/1SX6NBoVAgQJ6U1MVXOaj8PK2l7WJ3RER9xtqwdhxkhw/edit?usp=sharing"",""ชัยนาท!J21"")"),30)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IFERROR(__xludf.DUMMYFUNCTION("IMPORTRANGE(""https://docs.google.com/spreadsheets/d/1SX6NBoVAgQJ6U1MVXOaj8PK2l7WJ3RER9xtqwdhxkhw/edit?usp=sharing"",""ชัยนาท!I22"")"),0)</f>
        <v>0</v>
      </c>
      <c r="J82" s="204">
        <f ca="1">IFERROR(__xludf.DUMMYFUNCTION("IMPORTRANGE(""https://docs.google.com/spreadsheets/d/1SX6NBoVAgQJ6U1MVXOaj8PK2l7WJ3RER9xtqwdhxkhw/edit?usp=sharing"",""ชัยนาท!J22"")"),0)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IFERROR(__xludf.DUMMYFUNCTION("IMPORTRANGE(""https://docs.google.com/spreadsheets/d/1SX6NBoVAgQJ6U1MVXOaj8PK2l7WJ3RER9xtqwdhxkhw/edit?usp=sharing"",""ชัยนาท!I23"")"),0)</f>
        <v>0</v>
      </c>
      <c r="J83" s="204">
        <f ca="1">IFERROR(__xludf.DUMMYFUNCTION("IMPORTRANGE(""https://docs.google.com/spreadsheets/d/1SX6NBoVAgQJ6U1MVXOaj8PK2l7WJ3RER9xtqwdhxkhw/edit?usp=sharing"",""ชัยนาท!J23"")"),0)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IFERROR(__xludf.DUMMYFUNCTION("IMPORTRANGE(""https://docs.google.com/spreadsheets/d/1SX6NBoVAgQJ6U1MVXOaj8PK2l7WJ3RER9xtqwdhxkhw/edit?usp=sharing"",""ชัยนาท!I24"")"),1)</f>
        <v>1</v>
      </c>
      <c r="J84" s="189">
        <f ca="1">IFERROR(__xludf.DUMMYFUNCTION("IMPORTRANGE(""https://docs.google.com/spreadsheets/d/1SX6NBoVAgQJ6U1MVXOaj8PK2l7WJ3RER9xtqwdhxkhw/edit?usp=sharing"",""ชัยนาท!J24"")"),1)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IFERROR(__xludf.DUMMYFUNCTION("IMPORTRANGE(""https://docs.google.com/spreadsheets/d/1SX6NBoVAgQJ6U1MVXOaj8PK2l7WJ3RER9xtqwdhxkhw/edit?usp=sharing"",""ชัยนาท!I25"")"),30)</f>
        <v>30</v>
      </c>
      <c r="J85" s="189">
        <f ca="1">IFERROR(__xludf.DUMMYFUNCTION("IMPORTRANGE(""https://docs.google.com/spreadsheets/d/1SX6NBoVAgQJ6U1MVXOaj8PK2l7WJ3RER9xtqwdhxkhw/edit?usp=sharing"",""ชัยนาท!J25"")"),30)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IFERROR(__xludf.DUMMYFUNCTION("IMPORTRANGE(""https://docs.google.com/spreadsheets/d/1SX6NBoVAgQJ6U1MVXOaj8PK2l7WJ3RER9xtqwdhxkhw/edit?usp=sharing"",""ชัยนาท!I26"")"),0)</f>
        <v>0</v>
      </c>
      <c r="J86" s="204">
        <f ca="1">IFERROR(__xludf.DUMMYFUNCTION("IMPORTRANGE(""https://docs.google.com/spreadsheets/d/1SX6NBoVAgQJ6U1MVXOaj8PK2l7WJ3RER9xtqwdhxkhw/edit?usp=sharing"",""ชัยนาท!J26"")"),0)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IFERROR(__xludf.DUMMYFUNCTION("IMPORTRANGE(""https://docs.google.com/spreadsheets/d/1SX6NBoVAgQJ6U1MVXOaj8PK2l7WJ3RER9xtqwdhxkhw/edit?usp=sharing"",""ชัยนาท!I27"")"),0)</f>
        <v>0</v>
      </c>
      <c r="J87" s="204">
        <f ca="1">IFERROR(__xludf.DUMMYFUNCTION("IMPORTRANGE(""https://docs.google.com/spreadsheets/d/1SX6NBoVAgQJ6U1MVXOaj8PK2l7WJ3RER9xtqwdhxkhw/edit?usp=sharing"",""ชัยนาท!J27"")"),0)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IFERROR(__xludf.DUMMYFUNCTION("IMPORTRANGE(""https://docs.google.com/spreadsheets/d/1SX6NBoVAgQJ6U1MVXOaj8PK2l7WJ3RER9xtqwdhxkhw/edit?usp=sharing"",""ชัยนาท!I28"")"),0)</f>
        <v>0</v>
      </c>
      <c r="J88" s="204">
        <f ca="1">IFERROR(__xludf.DUMMYFUNCTION("IMPORTRANGE(""https://docs.google.com/spreadsheets/d/1SX6NBoVAgQJ6U1MVXOaj8PK2l7WJ3RER9xtqwdhxkhw/edit?usp=sharing"",""ชัยนาท!J28"")"),0)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IFERROR(__xludf.DUMMYFUNCTION("IMPORTRANGE(""https://docs.google.com/spreadsheets/d/1SX6NBoVAgQJ6U1MVXOaj8PK2l7WJ3RER9xtqwdhxkhw/edit?usp=sharing"",""ชัยนาท!J29"")"),0)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IFERROR(__xludf.DUMMYFUNCTION("IMPORTRANGE(""https://docs.google.com/spreadsheets/d/1SX6NBoVAgQJ6U1MVXOaj8PK2l7WJ3RER9xtqwdhxkhw/edit?usp=sharing"",""ชัยนาท!J30"")"),0)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IFERROR(__xludf.DUMMYFUNCTION("IMPORTRANGE(""https://docs.google.com/spreadsheets/d/1SX6NBoVAgQJ6U1MVXOaj8PK2l7WJ3RER9xtqwdhxkhw/edit?usp=sharing"",""ชัยนาท!I32"")"),0)</f>
        <v>0</v>
      </c>
      <c r="J92" s="142">
        <f ca="1">IFERROR(__xludf.DUMMYFUNCTION("IMPORTRANGE(""https://docs.google.com/spreadsheets/d/1SX6NBoVAgQJ6U1MVXOaj8PK2l7WJ3RER9xtqwdhxkhw/edit?usp=sharing"",""ชัยนาท!J32"")"),0)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IFERROR(__xludf.DUMMYFUNCTION("IMPORTRANGE(""https://docs.google.com/spreadsheets/d/1SX6NBoVAgQJ6U1MVXOaj8PK2l7WJ3RER9xtqwdhxkhw/edit?usp=sharing"",""ชัยนาท!I33"")"),0)</f>
        <v>0</v>
      </c>
      <c r="J93" s="142">
        <f ca="1">IFERROR(__xludf.DUMMYFUNCTION("IMPORTRANGE(""https://docs.google.com/spreadsheets/d/1SX6NBoVAgQJ6U1MVXOaj8PK2l7WJ3RER9xtqwdhxkhw/edit?usp=sharing"",""ชัยนาท!J33"")"),0)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IFERROR(__xludf.DUMMYFUNCTION("IMPORTRANGE(""https://docs.google.com/spreadsheets/d/1Yj_ptqi66GCucihVvJfMjLAmec39IyEx_6qawtMGysU/edit?usp=sharing"",""สบก!AR63"")"),0)</f>
        <v>0</v>
      </c>
      <c r="N98" s="169">
        <f ca="1">IFERROR(__xludf.DUMMYFUNCTION("IMPORTRANGE(""https://docs.google.com/spreadsheets/d/1Yj_ptqi66GCucihVvJfMjLAmec39IyEx_6qawtMGysU/edit?usp=sharing"",""สบก!AS63"")"),0)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IFERROR(__xludf.DUMMYFUNCTION("IMPORTRANGE(""https://docs.google.com/spreadsheets/d/1Yj_ptqi66GCucihVvJfMjLAmec39IyEx_6qawtMGysU/edit?usp=sharing"",""สบก!AN63"")"),0)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IFERROR(__xludf.DUMMYFUNCTION("IMPORTRANGE(""https://docs.google.com/spreadsheets/d/1Yj_ptqi66GCucihVvJfMjLAmec39IyEx_6qawtMGysU/edit?usp=sharing"",""สบก!AO63"")"),0)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IFERROR(__xludf.DUMMYFUNCTION("IMPORTRANGE(""https://docs.google.com/spreadsheets/d/1Yj_ptqi66GCucihVvJfMjLAmec39IyEx_6qawtMGysU/edit?usp=sharing"",""สบก!AP63"")"),0)</f>
        <v>0</v>
      </c>
      <c r="M102" s="49"/>
      <c r="N102" s="49">
        <f ca="1">IFERROR(__xludf.DUMMYFUNCTION("IMPORTRANGE(""https://docs.google.com/spreadsheets/d/1Yj_ptqi66GCucihVvJfMjLAmec39IyEx_6qawtMGysU/edit?usp=sharing"",""สบก!AT63"")"),0)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IFERROR(__xludf.DUMMYFUNCTION("IMPORTRANGE(""https://docs.google.com/spreadsheets/d/1SX6NBoVAgQJ6U1MVXOaj8PK2l7WJ3RER9xtqwdhxkhw/edit?usp=sharing"",""ชัยนาท!J39"")"),0)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IFERROR(__xludf.DUMMYFUNCTION("IMPORTRANGE(""https://docs.google.com/spreadsheets/d/1SX6NBoVAgQJ6U1MVXOaj8PK2l7WJ3RER9xtqwdhxkhw/edit?usp=sharing"",""ชัยนาท!J40"")"),0)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IFERROR(__xludf.DUMMYFUNCTION("IMPORTRANGE(""https://docs.google.com/spreadsheets/d/1SX6NBoVAgQJ6U1MVXOaj8PK2l7WJ3RER9xtqwdhxkhw/edit?usp=sharing"",""ชัยนาท!J41"")"),0)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IFERROR(__xludf.DUMMYFUNCTION("IMPORTRANGE(""https://docs.google.com/spreadsheets/d/1SX6NBoVAgQJ6U1MVXOaj8PK2l7WJ3RER9xtqwdhxkhw/edit?usp=sharing"",""ชัยนาท!J42"")"),0)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IFERROR(__xludf.DUMMYFUNCTION("IMPORTRANGE(""https://docs.google.com/spreadsheets/d/1SX6NBoVAgQJ6U1MVXOaj8PK2l7WJ3RER9xtqwdhxkhw/edit?usp=sharing"",""ชัยนาท!I43"")"),0)</f>
        <v>0</v>
      </c>
      <c r="J108" s="204">
        <f ca="1">IFERROR(__xludf.DUMMYFUNCTION("IMPORTRANGE(""https://docs.google.com/spreadsheets/d/1SX6NBoVAgQJ6U1MVXOaj8PK2l7WJ3RER9xtqwdhxkhw/edit?usp=sharing"",""ชัยนาท!J43"")"),0)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IFERROR(__xludf.DUMMYFUNCTION("IMPORTRANGE(""https://docs.google.com/spreadsheets/d/1SX6NBoVAgQJ6U1MVXOaj8PK2l7WJ3RER9xtqwdhxkhw/edit?usp=sharing"",""ชัยนาท!I44"")"),0)</f>
        <v>0</v>
      </c>
      <c r="J109" s="204">
        <f ca="1">IFERROR(__xludf.DUMMYFUNCTION("IMPORTRANGE(""https://docs.google.com/spreadsheets/d/1SX6NBoVAgQJ6U1MVXOaj8PK2l7WJ3RER9xtqwdhxkhw/edit?usp=sharing"",""ชัยนาท!J44"")"),0)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IFERROR(__xludf.DUMMYFUNCTION("IMPORTRANGE(""https://docs.google.com/spreadsheets/d/1SX6NBoVAgQJ6U1MVXOaj8PK2l7WJ3RER9xtqwdhxkhw/edit?usp=sharing"",""ชัยนาท!I45"")"),0)</f>
        <v>0</v>
      </c>
      <c r="J110" s="204">
        <f ca="1">IFERROR(__xludf.DUMMYFUNCTION("IMPORTRANGE(""https://docs.google.com/spreadsheets/d/1SX6NBoVAgQJ6U1MVXOaj8PK2l7WJ3RER9xtqwdhxkhw/edit?usp=sharing"",""ชัยนาท!J45"")"),0)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IFERROR(__xludf.DUMMYFUNCTION("IMPORTRANGE(""https://docs.google.com/spreadsheets/d/1SX6NBoVAgQJ6U1MVXOaj8PK2l7WJ3RER9xtqwdhxkhw/edit?usp=sharing"",""ชัยนาท!I46"")"),0)</f>
        <v>0</v>
      </c>
      <c r="J111" s="204">
        <f ca="1">IFERROR(__xludf.DUMMYFUNCTION("IMPORTRANGE(""https://docs.google.com/spreadsheets/d/1SX6NBoVAgQJ6U1MVXOaj8PK2l7WJ3RER9xtqwdhxkhw/edit?usp=sharing"",""ชัยนาท!J46"")"),0)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IFERROR(__xludf.DUMMYFUNCTION("IMPORTRANGE(""https://docs.google.com/spreadsheets/d/1SX6NBoVAgQJ6U1MVXOaj8PK2l7WJ3RER9xtqwdhxkhw/edit?usp=sharing"",""ชัยนาท!I47"")"),0)</f>
        <v>0</v>
      </c>
      <c r="J112" s="204">
        <f ca="1">IFERROR(__xludf.DUMMYFUNCTION("IMPORTRANGE(""https://docs.google.com/spreadsheets/d/1SX6NBoVAgQJ6U1MVXOaj8PK2l7WJ3RER9xtqwdhxkhw/edit?usp=sharing"",""ชัยนาท!J47"")"),0)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IFERROR(__xludf.DUMMYFUNCTION("IMPORTRANGE(""https://docs.google.com/spreadsheets/d/1SX6NBoVAgQJ6U1MVXOaj8PK2l7WJ3RER9xtqwdhxkhw/edit?usp=sharing"",""ชัยนาท!I48"")"),0)</f>
        <v>0</v>
      </c>
      <c r="J113" s="204">
        <f ca="1">IFERROR(__xludf.DUMMYFUNCTION("IMPORTRANGE(""https://docs.google.com/spreadsheets/d/1SX6NBoVAgQJ6U1MVXOaj8PK2l7WJ3RER9xtqwdhxkhw/edit?usp=sharing"",""ชัยนาท!J48"")"),0)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IFERROR(__xludf.DUMMYFUNCTION("IMPORTRANGE(""https://docs.google.com/spreadsheets/d/1SX6NBoVAgQJ6U1MVXOaj8PK2l7WJ3RER9xtqwdhxkhw/edit?usp=sharing"",""ชัยนาท!J49"")"),0)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IFERROR(__xludf.DUMMYFUNCTION("IMPORTRANGE(""https://docs.google.com/spreadsheets/d/1SX6NBoVAgQJ6U1MVXOaj8PK2l7WJ3RER9xtqwdhxkhw/edit?usp=sharing"",""ชัยนาท!J50"")"),0)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IFERROR(__xludf.DUMMYFUNCTION("IMPORTRANGE(""https://docs.google.com/spreadsheets/d/1SX6NBoVAgQJ6U1MVXOaj8PK2l7WJ3RER9xtqwdhxkhw/edit?usp=sharing"",""ชัยนาท!I52"")"),0)</f>
        <v>0</v>
      </c>
      <c r="J117" s="142">
        <f ca="1">IFERROR(__xludf.DUMMYFUNCTION("IMPORTRANGE(""https://docs.google.com/spreadsheets/d/1SX6NBoVAgQJ6U1MVXOaj8PK2l7WJ3RER9xtqwdhxkhw/edit?usp=sharing"",""ชัยนาท!J52"")"),0)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IFERROR(__xludf.DUMMYFUNCTION("IMPORTRANGE(""https://docs.google.com/spreadsheets/d/1Yj_ptqi66GCucihVvJfMjLAmec39IyEx_6qawtMGysU/edit?usp=sharing"",""สบก!BA63"")"),0)</f>
        <v>0</v>
      </c>
      <c r="N122" s="169">
        <f ca="1">IFERROR(__xludf.DUMMYFUNCTION("IMPORTRANGE(""https://docs.google.com/spreadsheets/d/1Yj_ptqi66GCucihVvJfMjLAmec39IyEx_6qawtMGysU/edit?usp=sharing"",""สบก!BB63"")"),0)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IFERROR(__xludf.DUMMYFUNCTION("IMPORTRANGE(""https://docs.google.com/spreadsheets/d/1Yj_ptqi66GCucihVvJfMjLAmec39IyEx_6qawtMGysU/edit?usp=sharing"",""สบก!AW63"")"),0)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IFERROR(__xludf.DUMMYFUNCTION("IMPORTRANGE(""https://docs.google.com/spreadsheets/d/1Yj_ptqi66GCucihVvJfMjLAmec39IyEx_6qawtMGysU/edit?usp=sharing"",""สบก!AX63"")"),0)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IFERROR(__xludf.DUMMYFUNCTION("IMPORTRANGE(""https://docs.google.com/spreadsheets/d/1Yj_ptqi66GCucihVvJfMjLAmec39IyEx_6qawtMGysU/edit?usp=sharing"",""สบก!AY63"")"),0)</f>
        <v>0</v>
      </c>
      <c r="M126" s="49"/>
      <c r="N126" s="49">
        <f ca="1">IFERROR(__xludf.DUMMYFUNCTION("IMPORTRANGE(""https://docs.google.com/spreadsheets/d/1Yj_ptqi66GCucihVvJfMjLAmec39IyEx_6qawtMGysU/edit?usp=sharing"",""สบก!BC63"")"),0)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247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IFERROR(__xludf.DUMMYFUNCTION("IMPORTRANGE(""https://docs.google.com/spreadsheets/d/1SX6NBoVAgQJ6U1MVXOaj8PK2l7WJ3RER9xtqwdhxkhw/edit?usp=sharing"",""ชัยนาท!J58"")"),0)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IFERROR(__xludf.DUMMYFUNCTION("IMPORTRANGE(""https://docs.google.com/spreadsheets/d/1SX6NBoVAgQJ6U1MVXOaj8PK2l7WJ3RER9xtqwdhxkhw/edit?usp=sharing"",""ชัยนาท!J59"")"),0)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IFERROR(__xludf.DUMMYFUNCTION("IMPORTRANGE(""https://docs.google.com/spreadsheets/d/1SX6NBoVAgQJ6U1MVXOaj8PK2l7WJ3RER9xtqwdhxkhw/edit?usp=sharing"",""ชัยนาท!J60"")"),0)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IFERROR(__xludf.DUMMYFUNCTION("IMPORTRANGE(""https://docs.google.com/spreadsheets/d/1SX6NBoVAgQJ6U1MVXOaj8PK2l7WJ3RER9xtqwdhxkhw/edit?usp=sharing"",""ชัยนาท!J61"")"),0)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IFERROR(__xludf.DUMMYFUNCTION("IMPORTRANGE(""https://docs.google.com/spreadsheets/d/1SX6NBoVAgQJ6U1MVXOaj8PK2l7WJ3RER9xtqwdhxkhw/edit?usp=sharing"",""ชัยนาท!I62"")"),0)</f>
        <v>0</v>
      </c>
      <c r="J132" s="204">
        <f ca="1">IFERROR(__xludf.DUMMYFUNCTION("IMPORTRANGE(""https://docs.google.com/spreadsheets/d/1SX6NBoVAgQJ6U1MVXOaj8PK2l7WJ3RER9xtqwdhxkhw/edit?usp=sharing"",""ชัยนาท!J62"")"),0)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IFERROR(__xludf.DUMMYFUNCTION("IMPORTRANGE(""https://docs.google.com/spreadsheets/d/1SX6NBoVAgQJ6U1MVXOaj8PK2l7WJ3RER9xtqwdhxkhw/edit?usp=sharing"",""ชัยนาท!I63"")"),0)</f>
        <v>0</v>
      </c>
      <c r="J133" s="204">
        <f ca="1">IFERROR(__xludf.DUMMYFUNCTION("IMPORTRANGE(""https://docs.google.com/spreadsheets/d/1SX6NBoVAgQJ6U1MVXOaj8PK2l7WJ3RER9xtqwdhxkhw/edit?usp=sharing"",""ชัยนาท!J63"")"),0)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IFERROR(__xludf.DUMMYFUNCTION("IMPORTRANGE(""https://docs.google.com/spreadsheets/d/1SX6NBoVAgQJ6U1MVXOaj8PK2l7WJ3RER9xtqwdhxkhw/edit?usp=sharing"",""ชัยนาท!J64"")"),0)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IFERROR(__xludf.DUMMYFUNCTION("IMPORTRANGE(""https://docs.google.com/spreadsheets/d/1SX6NBoVAgQJ6U1MVXOaj8PK2l7WJ3RER9xtqwdhxkhw/edit?usp=sharing"",""ชัยนาท!J65"")"),0)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IFERROR(__xludf.DUMMYFUNCTION("IMPORTRANGE(""https://docs.google.com/spreadsheets/d/1SX6NBoVAgQJ6U1MVXOaj8PK2l7WJ3RER9xtqwdhxkhw/edit?usp=sharing"",""ชัยนาท!I68"")"),15)</f>
        <v>15</v>
      </c>
      <c r="J138" s="267">
        <f ca="1">IFERROR(__xludf.DUMMYFUNCTION("IMPORTRANGE(""https://docs.google.com/spreadsheets/d/1SX6NBoVAgQJ6U1MVXOaj8PK2l7WJ3RER9xtqwdhxkhw/edit?usp=sharing"",""ชัยนาท!J68"")"),15)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264400</v>
      </c>
      <c r="M140" s="152">
        <f t="shared" ca="1" si="64"/>
        <v>207425</v>
      </c>
      <c r="N140" s="152">
        <f t="shared" ca="1" si="64"/>
        <v>103636.59</v>
      </c>
      <c r="O140" s="151">
        <f t="shared" ref="O140:O142" ca="1" si="65">IF(L140&gt;0,N140*100/L140,0)</f>
        <v>39.196894856278369</v>
      </c>
      <c r="P140" s="151">
        <f t="shared" ref="P140:P142" ca="1" si="66">IF(M140&gt;0,N140*100/M140,0)</f>
        <v>49.963403639869831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264400</v>
      </c>
      <c r="M142" s="157">
        <f t="shared" ca="1" si="68"/>
        <v>207425</v>
      </c>
      <c r="N142" s="157">
        <f t="shared" ca="1" si="68"/>
        <v>103636.59</v>
      </c>
      <c r="O142" s="156">
        <f t="shared" ca="1" si="65"/>
        <v>39.196894856278369</v>
      </c>
      <c r="P142" s="156">
        <f t="shared" ca="1" si="66"/>
        <v>49.963403639869831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264400</v>
      </c>
      <c r="M144" s="168">
        <f ca="1">IFERROR(__xludf.DUMMYFUNCTION("IMPORTRANGE(""https://docs.google.com/spreadsheets/d/1Yj_ptqi66GCucihVvJfMjLAmec39IyEx_6qawtMGysU/edit?usp=sharing"",""สบก!BJ63"")"),207425)</f>
        <v>207425</v>
      </c>
      <c r="N144" s="169">
        <f ca="1">IFERROR(__xludf.DUMMYFUNCTION("IMPORTRANGE(""https://docs.google.com/spreadsheets/d/1Yj_ptqi66GCucihVvJfMjLAmec39IyEx_6qawtMGysU/edit?usp=sharing"",""สบก!BK63"")"),103636.59)</f>
        <v>103636.59</v>
      </c>
      <c r="O144" s="169">
        <f ca="1">IF(L144&gt;0,N144*100/L144,0)</f>
        <v>39.196894856278369</v>
      </c>
      <c r="P144" s="169">
        <f ca="1">IF(M144&gt;0,N144*100/M144,0)</f>
        <v>49.963403639869831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IFERROR(__xludf.DUMMYFUNCTION("IMPORTRANGE(""https://docs.google.com/spreadsheets/d/1Yj_ptqi66GCucihVvJfMjLAmec39IyEx_6qawtMGysU/edit?usp=sharing"",""สบก!BF63"")"),219800)</f>
        <v>219800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IFERROR(__xludf.DUMMYFUNCTION("IMPORTRANGE(""https://docs.google.com/spreadsheets/d/1Yj_ptqi66GCucihVvJfMjLAmec39IyEx_6qawtMGysU/edit?usp=sharing"",""สบก!BG63"")"),44600)</f>
        <v>44600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IFERROR(__xludf.DUMMYFUNCTION("IMPORTRANGE(""https://docs.google.com/spreadsheets/d/1Yj_ptqi66GCucihVvJfMjLAmec39IyEx_6qawtMGysU/edit?usp=sharing"",""สบก!BH63"")"),0)</f>
        <v>0</v>
      </c>
      <c r="M148" s="49"/>
      <c r="N148" s="49">
        <f ca="1">IFERROR(__xludf.DUMMYFUNCTION("IMPORTRANGE(""https://docs.google.com/spreadsheets/d/1Yj_ptqi66GCucihVvJfMjLAmec39IyEx_6qawtMGysU/edit?usp=sharing"",""สบก!BL63"")"),0)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IFERROR(__xludf.DUMMYFUNCTION("IMPORTRANGE(""https://docs.google.com/spreadsheets/d/1SX6NBoVAgQJ6U1MVXOaj8PK2l7WJ3RER9xtqwdhxkhw/edit?usp=sharing"",""ชัยนาท!I74"")"),4)</f>
        <v>4</v>
      </c>
      <c r="J149" s="275">
        <f ca="1">IFERROR(__xludf.DUMMYFUNCTION("IMPORTRANGE(""https://docs.google.com/spreadsheets/d/1SX6NBoVAgQJ6U1MVXOaj8PK2l7WJ3RER9xtqwdhxkhw/edit?usp=sharing"",""ชัยนาท!J74"")"),2)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IFERROR(__xludf.DUMMYFUNCTION("IMPORTRANGE(""https://docs.google.com/spreadsheets/d/1SX6NBoVAgQJ6U1MVXOaj8PK2l7WJ3RER9xtqwdhxkhw/edit?usp=sharing"",""ชัยนาท!J79"")"),0)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IFERROR(__xludf.DUMMYFUNCTION("IMPORTRANGE(""https://docs.google.com/spreadsheets/d/1SX6NBoVAgQJ6U1MVXOaj8PK2l7WJ3RER9xtqwdhxkhw/edit?usp=sharing"",""ชัยนาท!J80"")"),1)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IFERROR(__xludf.DUMMYFUNCTION("IMPORTRANGE(""https://docs.google.com/spreadsheets/d/1SX6NBoVAgQJ6U1MVXOaj8PK2l7WJ3RER9xtqwdhxkhw/edit?usp=sharing"",""ชัยนาท!J81"")"),0)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IFERROR(__xludf.DUMMYFUNCTION("IMPORTRANGE(""https://docs.google.com/spreadsheets/d/1SX6NBoVAgQJ6U1MVXOaj8PK2l7WJ3RER9xtqwdhxkhw/edit?usp=sharing"",""ชัยนาท!J82"")"),1)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IFERROR(__xludf.DUMMYFUNCTION("IMPORTRANGE(""https://docs.google.com/spreadsheets/d/1SX6NBoVAgQJ6U1MVXOaj8PK2l7WJ3RER9xtqwdhxkhw/edit?usp=sharing"",""ชัยนาท!I83"")"),4)</f>
        <v>4</v>
      </c>
      <c r="J158" s="189">
        <f ca="1">IFERROR(__xludf.DUMMYFUNCTION("IMPORTRANGE(""https://docs.google.com/spreadsheets/d/1SX6NBoVAgQJ6U1MVXOaj8PK2l7WJ3RER9xtqwdhxkhw/edit?usp=sharing"",""ชัยนาท!J83"")"),2)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IFERROR(__xludf.DUMMYFUNCTION("IMPORTRANGE(""https://docs.google.com/spreadsheets/d/1SX6NBoVAgQJ6U1MVXOaj8PK2l7WJ3RER9xtqwdhxkhw/edit?usp=sharing"",""ชัยนาท!J84"")"),85)</f>
        <v>85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IFERROR(__xludf.DUMMYFUNCTION("IMPORTRANGE(""https://docs.google.com/spreadsheets/d/1SX6NBoVAgQJ6U1MVXOaj8PK2l7WJ3RER9xtqwdhxkhw/edit?usp=sharing"",""ชัยนาท!J85"")"),85)</f>
        <v>85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IFERROR(__xludf.DUMMYFUNCTION("IMPORTRANGE(""https://docs.google.com/spreadsheets/d/1SX6NBoVAgQJ6U1MVXOaj8PK2l7WJ3RER9xtqwdhxkhw/edit?usp=sharing"",""ชัยนาท!J86"")"),0)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IFERROR(__xludf.DUMMYFUNCTION("IMPORTRANGE(""https://docs.google.com/spreadsheets/d/1SX6NBoVAgQJ6U1MVXOaj8PK2l7WJ3RER9xtqwdhxkhw/edit?usp=sharing"",""ชัยนาท!J87"")"),0)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IFERROR(__xludf.DUMMYFUNCTION("IMPORTRANGE(""https://docs.google.com/spreadsheets/d/1SX6NBoVAgQJ6U1MVXOaj8PK2l7WJ3RER9xtqwdhxkhw/edit?usp=sharing"",""ชัยนาท!J88"")"),0)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IFERROR(__xludf.DUMMYFUNCTION("IMPORTRANGE(""https://docs.google.com/spreadsheets/d/1SX6NBoVAgQJ6U1MVXOaj8PK2l7WJ3RER9xtqwdhxkhw/edit?usp=sharing"",""ชัยนาท!I89"")"),1)</f>
        <v>1</v>
      </c>
      <c r="J164" s="284">
        <f ca="1">IFERROR(__xludf.DUMMYFUNCTION("IMPORTRANGE(""https://docs.google.com/spreadsheets/d/1SX6NBoVAgQJ6U1MVXOaj8PK2l7WJ3RER9xtqwdhxkhw/edit?usp=sharing"",""ชัยนาท!J89"")"),1)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IFERROR(__xludf.DUMMYFUNCTION("IMPORTRANGE(""https://docs.google.com/spreadsheets/d/1SX6NBoVAgQJ6U1MVXOaj8PK2l7WJ3RER9xtqwdhxkhw/edit?usp=sharing"",""ชัยนาท!J94"")"),0)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IFERROR(__xludf.DUMMYFUNCTION("IMPORTRANGE(""https://docs.google.com/spreadsheets/d/1SX6NBoVAgQJ6U1MVXOaj8PK2l7WJ3RER9xtqwdhxkhw/edit?usp=sharing"",""ชัยนาท!J95"")"),1)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IFERROR(__xludf.DUMMYFUNCTION("IMPORTRANGE(""https://docs.google.com/spreadsheets/d/1SX6NBoVAgQJ6U1MVXOaj8PK2l7WJ3RER9xtqwdhxkhw/edit?usp=sharing"",""ชัยนาท!J96"")"),1)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IFERROR(__xludf.DUMMYFUNCTION("IMPORTRANGE(""https://docs.google.com/spreadsheets/d/1SX6NBoVAgQJ6U1MVXOaj8PK2l7WJ3RER9xtqwdhxkhw/edit?usp=sharing"",""ชัยนาท!J97"")"),1)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IFERROR(__xludf.DUMMYFUNCTION("IMPORTRANGE(""https://docs.google.com/spreadsheets/d/1SX6NBoVAgQJ6U1MVXOaj8PK2l7WJ3RER9xtqwdhxkhw/edit?usp=sharing"",""ชัยนาท!I98"")"),1)</f>
        <v>1</v>
      </c>
      <c r="J173" s="189">
        <f ca="1">IFERROR(__xludf.DUMMYFUNCTION("IMPORTRANGE(""https://docs.google.com/spreadsheets/d/1SX6NBoVAgQJ6U1MVXOaj8PK2l7WJ3RER9xtqwdhxkhw/edit?usp=sharing"",""ชัยนาท!J98"")"),1)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IFERROR(__xludf.DUMMYFUNCTION("IMPORTRANGE(""https://docs.google.com/spreadsheets/d/1SX6NBoVAgQJ6U1MVXOaj8PK2l7WJ3RER9xtqwdhxkhw/edit?usp=sharing"",""ชัยนาท!J99"")"),0)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IFERROR(__xludf.DUMMYFUNCTION("IMPORTRANGE(""https://docs.google.com/spreadsheets/d/1SX6NBoVAgQJ6U1MVXOaj8PK2l7WJ3RER9xtqwdhxkhw/edit?usp=sharing"",""ชัยนาท!J100"")"),0)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IFERROR(__xludf.DUMMYFUNCTION("IMPORTRANGE(""https://docs.google.com/spreadsheets/d/1SX6NBoVAgQJ6U1MVXOaj8PK2l7WJ3RER9xtqwdhxkhw/edit?usp=sharing"",""ชัยนาท!I101"")"),0)</f>
        <v>0</v>
      </c>
      <c r="J176" s="284">
        <f ca="1">IFERROR(__xludf.DUMMYFUNCTION("IMPORTRANGE(""https://docs.google.com/spreadsheets/d/1SX6NBoVAgQJ6U1MVXOaj8PK2l7WJ3RER9xtqwdhxkhw/edit?usp=sharing"",""ชัยนาท!J101"")"),0)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IFERROR(__xludf.DUMMYFUNCTION("IMPORTRANGE(""https://docs.google.com/spreadsheets/d/1SX6NBoVAgQJ6U1MVXOaj8PK2l7WJ3RER9xtqwdhxkhw/edit?usp=sharing"",""ชัยนาท!J106"")"),0)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IFERROR(__xludf.DUMMYFUNCTION("IMPORTRANGE(""https://docs.google.com/spreadsheets/d/1SX6NBoVAgQJ6U1MVXOaj8PK2l7WJ3RER9xtqwdhxkhw/edit?usp=sharing"",""ชัยนาท!J107"")"),0)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IFERROR(__xludf.DUMMYFUNCTION("IMPORTRANGE(""https://docs.google.com/spreadsheets/d/1SX6NBoVAgQJ6U1MVXOaj8PK2l7WJ3RER9xtqwdhxkhw/edit?usp=sharing"",""ชัยนาท!J108"")"),0)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IFERROR(__xludf.DUMMYFUNCTION("IMPORTRANGE(""https://docs.google.com/spreadsheets/d/1SX6NBoVAgQJ6U1MVXOaj8PK2l7WJ3RER9xtqwdhxkhw/edit?usp=sharing"",""ชัยนาท!J109"")"),0)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IFERROR(__xludf.DUMMYFUNCTION("IMPORTRANGE(""https://docs.google.com/spreadsheets/d/1SX6NBoVAgQJ6U1MVXOaj8PK2l7WJ3RER9xtqwdhxkhw/edit?usp=sharing"",""ชัยนาท!I110"")"),0)</f>
        <v>0</v>
      </c>
      <c r="J185" s="204">
        <f ca="1">IFERROR(__xludf.DUMMYFUNCTION("IMPORTRANGE(""https://docs.google.com/spreadsheets/d/1SX6NBoVAgQJ6U1MVXOaj8PK2l7WJ3RER9xtqwdhxkhw/edit?usp=sharing"",""ชัยนาท!J110"")"),0)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IFERROR(__xludf.DUMMYFUNCTION("IMPORTRANGE(""https://docs.google.com/spreadsheets/d/1SX6NBoVAgQJ6U1MVXOaj8PK2l7WJ3RER9xtqwdhxkhw/edit?usp=sharing"",""ชัยนาท!I111"")"),0)</f>
        <v>0</v>
      </c>
      <c r="J186" s="204">
        <f ca="1">IFERROR(__xludf.DUMMYFUNCTION("IMPORTRANGE(""https://docs.google.com/spreadsheets/d/1SX6NBoVAgQJ6U1MVXOaj8PK2l7WJ3RER9xtqwdhxkhw/edit?usp=sharing"",""ชัยนาท!J111"")"),0)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IFERROR(__xludf.DUMMYFUNCTION("IMPORTRANGE(""https://docs.google.com/spreadsheets/d/1SX6NBoVAgQJ6U1MVXOaj8PK2l7WJ3RER9xtqwdhxkhw/edit?usp=sharing"",""ชัยนาท!J112"")"),0)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IFERROR(__xludf.DUMMYFUNCTION("IMPORTRANGE(""https://docs.google.com/spreadsheets/d/1SX6NBoVAgQJ6U1MVXOaj8PK2l7WJ3RER9xtqwdhxkhw/edit?usp=sharing"",""ชัยนาท!J113"")"),0)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IFERROR(__xludf.DUMMYFUNCTION("IMPORTRANGE(""https://docs.google.com/spreadsheets/d/1SX6NBoVAgQJ6U1MVXOaj8PK2l7WJ3RER9xtqwdhxkhw/edit?usp=sharing"",""ชัยนาท!I114"")"),12800)</f>
        <v>12800</v>
      </c>
      <c r="J189" s="284">
        <f ca="1">IFERROR(__xludf.DUMMYFUNCTION("IMPORTRANGE(""https://docs.google.com/spreadsheets/d/1SX6NBoVAgQJ6U1MVXOaj8PK2l7WJ3RER9xtqwdhxkhw/edit?usp=sharing"",""ชัยนาท!J114"")"),0)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IFERROR(__xludf.DUMMYFUNCTION("IMPORTRANGE(""https://docs.google.com/spreadsheets/d/1SX6NBoVAgQJ6U1MVXOaj8PK2l7WJ3RER9xtqwdhxkhw/edit?usp=sharing"",""ชัยนาท!J119"")"),0)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IFERROR(__xludf.DUMMYFUNCTION("IMPORTRANGE(""https://docs.google.com/spreadsheets/d/1SX6NBoVAgQJ6U1MVXOaj8PK2l7WJ3RER9xtqwdhxkhw/edit?usp=sharing"",""ชัยนาท!J120"")"),1)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IFERROR(__xludf.DUMMYFUNCTION("IMPORTRANGE(""https://docs.google.com/spreadsheets/d/1SX6NBoVAgQJ6U1MVXOaj8PK2l7WJ3RER9xtqwdhxkhw/edit?usp=sharing"",""ชัยนาท!J121"")"),1)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IFERROR(__xludf.DUMMYFUNCTION("IMPORTRANGE(""https://docs.google.com/spreadsheets/d/1SX6NBoVAgQJ6U1MVXOaj8PK2l7WJ3RER9xtqwdhxkhw/edit?usp=sharing"",""ชัยนาท!J122"")"),1)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IFERROR(__xludf.DUMMYFUNCTION("IMPORTRANGE(""https://docs.google.com/spreadsheets/d/1SX6NBoVAgQJ6U1MVXOaj8PK2l7WJ3RER9xtqwdhxkhw/edit?usp=sharing"",""ชัยนาท!I124"")"),12800)</f>
        <v>12800</v>
      </c>
      <c r="J199" s="189">
        <f ca="1">IFERROR(__xludf.DUMMYFUNCTION("IMPORTRANGE(""https://docs.google.com/spreadsheets/d/1SX6NBoVAgQJ6U1MVXOaj8PK2l7WJ3RER9xtqwdhxkhw/edit?usp=sharing"",""ชัยนาท!J124"")"),0)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IFERROR(__xludf.DUMMYFUNCTION("IMPORTRANGE(""https://docs.google.com/spreadsheets/d/1SX6NBoVAgQJ6U1MVXOaj8PK2l7WJ3RER9xtqwdhxkhw/edit?usp=sharing"",""ชัยนาท!I125"")"),12800)</f>
        <v>12800</v>
      </c>
      <c r="J200" s="189">
        <f ca="1">IFERROR(__xludf.DUMMYFUNCTION("IMPORTRANGE(""https://docs.google.com/spreadsheets/d/1SX6NBoVAgQJ6U1MVXOaj8PK2l7WJ3RER9xtqwdhxkhw/edit?usp=sharing"",""ชัยนาท!J125"")"),0)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IFERROR(__xludf.DUMMYFUNCTION("IMPORTRANGE(""https://docs.google.com/spreadsheets/d/1SX6NBoVAgQJ6U1MVXOaj8PK2l7WJ3RER9xtqwdhxkhw/edit?usp=sharing"",""ชัยนาท!I126"")"),15)</f>
        <v>15</v>
      </c>
      <c r="J201" s="189">
        <f ca="1">IFERROR(__xludf.DUMMYFUNCTION("IMPORTRANGE(""https://docs.google.com/spreadsheets/d/1SX6NBoVAgQJ6U1MVXOaj8PK2l7WJ3RER9xtqwdhxkhw/edit?usp=sharing"",""ชัยนาท!J126"")"),15)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IFERROR(__xludf.DUMMYFUNCTION("IMPORTRANGE(""https://docs.google.com/spreadsheets/d/1SX6NBoVAgQJ6U1MVXOaj8PK2l7WJ3RER9xtqwdhxkhw/edit?usp=sharing"",""ชัยนาท!J127"")"),0)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IFERROR(__xludf.DUMMYFUNCTION("IMPORTRANGE(""https://docs.google.com/spreadsheets/d/1SX6NBoVAgQJ6U1MVXOaj8PK2l7WJ3RER9xtqwdhxkhw/edit?usp=sharing"",""ชัยนาท!J128"")"),0)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IFERROR(__xludf.DUMMYFUNCTION("IMPORTRANGE(""https://docs.google.com/spreadsheets/d/1SX6NBoVAgQJ6U1MVXOaj8PK2l7WJ3RER9xtqwdhxkhw/edit?usp=sharing"",""ชัยนาท!I129"")"),0)</f>
        <v>0</v>
      </c>
      <c r="J204" s="284">
        <f ca="1">IFERROR(__xludf.DUMMYFUNCTION("IMPORTRANGE(""https://docs.google.com/spreadsheets/d/1SX6NBoVAgQJ6U1MVXOaj8PK2l7WJ3RER9xtqwdhxkhw/edit?usp=sharing"",""ชัยนาท!J129"")"),0)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IFERROR(__xludf.DUMMYFUNCTION("IMPORTRANGE(""https://docs.google.com/spreadsheets/d/1SX6NBoVAgQJ6U1MVXOaj8PK2l7WJ3RER9xtqwdhxkhw/edit?usp=sharing"",""ชัยนาท!J134"")"),0)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IFERROR(__xludf.DUMMYFUNCTION("IMPORTRANGE(""https://docs.google.com/spreadsheets/d/1SX6NBoVAgQJ6U1MVXOaj8PK2l7WJ3RER9xtqwdhxkhw/edit?usp=sharing"",""ชัยนาท!J135"")"),0)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IFERROR(__xludf.DUMMYFUNCTION("IMPORTRANGE(""https://docs.google.com/spreadsheets/d/1SX6NBoVAgQJ6U1MVXOaj8PK2l7WJ3RER9xtqwdhxkhw/edit?usp=sharing"",""ชัยนาท!J136"")"),0)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IFERROR(__xludf.DUMMYFUNCTION("IMPORTRANGE(""https://docs.google.com/spreadsheets/d/1SX6NBoVAgQJ6U1MVXOaj8PK2l7WJ3RER9xtqwdhxkhw/edit?usp=sharing"",""ชัยนาท!J137"")"),0)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IFERROR(__xludf.DUMMYFUNCTION("IMPORTRANGE(""https://docs.google.com/spreadsheets/d/1SX6NBoVAgQJ6U1MVXOaj8PK2l7WJ3RER9xtqwdhxkhw/edit?usp=sharing"",""ชัยนาท!I138"")"),0)</f>
        <v>0</v>
      </c>
      <c r="J213" s="204">
        <f ca="1">IFERROR(__xludf.DUMMYFUNCTION("IMPORTRANGE(""https://docs.google.com/spreadsheets/d/1SX6NBoVAgQJ6U1MVXOaj8PK2l7WJ3RER9xtqwdhxkhw/edit?usp=sharing"",""ชัยนาท!J138"")"),0)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IFERROR(__xludf.DUMMYFUNCTION("IMPORTRANGE(""https://docs.google.com/spreadsheets/d/1SX6NBoVAgQJ6U1MVXOaj8PK2l7WJ3RER9xtqwdhxkhw/edit?usp=sharing"",""ชัยนาท!I140"")"),0)</f>
        <v>0</v>
      </c>
      <c r="J215" s="204">
        <f ca="1">IFERROR(__xludf.DUMMYFUNCTION("IMPORTRANGE(""https://docs.google.com/spreadsheets/d/1SX6NBoVAgQJ6U1MVXOaj8PK2l7WJ3RER9xtqwdhxkhw/edit?usp=sharing"",""ชัยนาท!J140"")"),0)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IFERROR(__xludf.DUMMYFUNCTION("IMPORTRANGE(""https://docs.google.com/spreadsheets/d/1SX6NBoVAgQJ6U1MVXOaj8PK2l7WJ3RER9xtqwdhxkhw/edit?usp=sharing"",""ชัยนาท!I141"")"),0)</f>
        <v>0</v>
      </c>
      <c r="J216" s="204">
        <f ca="1">IFERROR(__xludf.DUMMYFUNCTION("IMPORTRANGE(""https://docs.google.com/spreadsheets/d/1SX6NBoVAgQJ6U1MVXOaj8PK2l7WJ3RER9xtqwdhxkhw/edit?usp=sharing"",""ชัยนาท!J141"")"),0)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IFERROR(__xludf.DUMMYFUNCTION("IMPORTRANGE(""https://docs.google.com/spreadsheets/d/1SX6NBoVAgQJ6U1MVXOaj8PK2l7WJ3RER9xtqwdhxkhw/edit?usp=sharing"",""ชัยนาท!J142"")"),0)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IFERROR(__xludf.DUMMYFUNCTION("IMPORTRANGE(""https://docs.google.com/spreadsheets/d/1SX6NBoVAgQJ6U1MVXOaj8PK2l7WJ3RER9xtqwdhxkhw/edit?usp=sharing"",""ชัยนาท!J143"")"),0)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IFERROR(__xludf.DUMMYFUNCTION("IMPORTRANGE(""https://docs.google.com/spreadsheets/d/1SX6NBoVAgQJ6U1MVXOaj8PK2l7WJ3RER9xtqwdhxkhw/edit?usp=sharing"",""ชัยนาท!I144"")"),13)</f>
        <v>13</v>
      </c>
      <c r="J219" s="267">
        <f ca="1">IFERROR(__xludf.DUMMYFUNCTION("IMPORTRANGE(""https://docs.google.com/spreadsheets/d/1SX6NBoVAgQJ6U1MVXOaj8PK2l7WJ3RER9xtqwdhxkhw/edit?usp=sharing"",""ชัยนาท!J144"")"),13)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IFERROR(__xludf.DUMMYFUNCTION("IMPORTRANGE(""https://docs.google.com/spreadsheets/d/1Yj_ptqi66GCucihVvJfMjLAmec39IyEx_6qawtMGysU/edit?usp=sharing"",""สบก!BS63"")"),19295)</f>
        <v>19295</v>
      </c>
      <c r="N224" s="169">
        <f ca="1">IFERROR(__xludf.DUMMYFUNCTION("IMPORTRANGE(""https://docs.google.com/spreadsheets/d/1Yj_ptqi66GCucihVvJfMjLAmec39IyEx_6qawtMGysU/edit?usp=sharing"",""สบก!BT63"")"),19295)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IFERROR(__xludf.DUMMYFUNCTION("IMPORTRANGE(""https://docs.google.com/spreadsheets/d/1Yj_ptqi66GCucihVvJfMjLAmec39IyEx_6qawtMGysU/edit?usp=sharing"",""สบก!BO63"")"),0)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IFERROR(__xludf.DUMMYFUNCTION("IMPORTRANGE(""https://docs.google.com/spreadsheets/d/1Yj_ptqi66GCucihVvJfMjLAmec39IyEx_6qawtMGysU/edit?usp=sharing"",""สบก!BP63"")"),19295)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IFERROR(__xludf.DUMMYFUNCTION("IMPORTRANGE(""https://docs.google.com/spreadsheets/d/1Yj_ptqi66GCucihVvJfMjLAmec39IyEx_6qawtMGysU/edit?usp=sharing"",""สบก!BQ63"")"),0)</f>
        <v>0</v>
      </c>
      <c r="M228" s="49"/>
      <c r="N228" s="49">
        <f ca="1">IFERROR(__xludf.DUMMYFUNCTION("IMPORTRANGE(""https://docs.google.com/spreadsheets/d/1Yj_ptqi66GCucihVvJfMjLAmec39IyEx_6qawtMGysU/edit?usp=sharing"",""สบก!BU63"")"),0)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IFERROR(__xludf.DUMMYFUNCTION("IMPORTRANGE(""https://docs.google.com/spreadsheets/d/1SX6NBoVAgQJ6U1MVXOaj8PK2l7WJ3RER9xtqwdhxkhw/edit?usp=sharing"",""ชัยนาท!I149"")"),13)</f>
        <v>13</v>
      </c>
      <c r="J229" s="267">
        <f ca="1">IFERROR(__xludf.DUMMYFUNCTION("IMPORTRANGE(""https://docs.google.com/spreadsheets/d/1SX6NBoVAgQJ6U1MVXOaj8PK2l7WJ3RER9xtqwdhxkhw/edit?usp=sharing"",""ชัยนาท!J149"")"),13)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IFERROR(__xludf.DUMMYFUNCTION("IMPORTRANGE(""https://docs.google.com/spreadsheets/d/1SX6NBoVAgQJ6U1MVXOaj8PK2l7WJ3RER9xtqwdhxkhw/edit?usp=sharing"",""ชัยนาท!J151"")"),0)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IFERROR(__xludf.DUMMYFUNCTION("IMPORTRANGE(""https://docs.google.com/spreadsheets/d/1SX6NBoVAgQJ6U1MVXOaj8PK2l7WJ3RER9xtqwdhxkhw/edit?usp=sharing"",""ชัยนาท!J152"")"),1)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IFERROR(__xludf.DUMMYFUNCTION("IMPORTRANGE(""https://docs.google.com/spreadsheets/d/1SX6NBoVAgQJ6U1MVXOaj8PK2l7WJ3RER9xtqwdhxkhw/edit?usp=sharing"",""ชัยนาท!J153"")"),1)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IFERROR(__xludf.DUMMYFUNCTION("IMPORTRANGE(""https://docs.google.com/spreadsheets/d/1SX6NBoVAgQJ6U1MVXOaj8PK2l7WJ3RER9xtqwdhxkhw/edit?usp=sharing"",""ชัยนาท!J154"")"),1)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IFERROR(__xludf.DUMMYFUNCTION("IMPORTRANGE(""https://docs.google.com/spreadsheets/d/1SX6NBoVAgQJ6U1MVXOaj8PK2l7WJ3RER9xtqwdhxkhw/edit?usp=sharing"",""ชัยนาท!I155"")"),13)</f>
        <v>13</v>
      </c>
      <c r="J235" s="189">
        <f ca="1">IFERROR(__xludf.DUMMYFUNCTION("IMPORTRANGE(""https://docs.google.com/spreadsheets/d/1SX6NBoVAgQJ6U1MVXOaj8PK2l7WJ3RER9xtqwdhxkhw/edit?usp=sharing"",""ชัยนาท!J155"")"),13)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IFERROR(__xludf.DUMMYFUNCTION("IMPORTRANGE(""https://docs.google.com/spreadsheets/d/1SX6NBoVAgQJ6U1MVXOaj8PK2l7WJ3RER9xtqwdhxkhw/edit?usp=sharing"",""ชัยนาท!J156"")"),0)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IFERROR(__xludf.DUMMYFUNCTION("IMPORTRANGE(""https://docs.google.com/spreadsheets/d/1SX6NBoVAgQJ6U1MVXOaj8PK2l7WJ3RER9xtqwdhxkhw/edit?usp=sharing"",""ชัยนาท!J157"")"),0)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IFERROR(__xludf.DUMMYFUNCTION("IMPORTRANGE(""https://docs.google.com/spreadsheets/d/1SX6NBoVAgQJ6U1MVXOaj8PK2l7WJ3RER9xtqwdhxkhw/edit?usp=sharing"",""ชัยนาท!I158"")"),0)</f>
        <v>0</v>
      </c>
      <c r="J238" s="267">
        <f ca="1">IFERROR(__xludf.DUMMYFUNCTION("IMPORTRANGE(""https://docs.google.com/spreadsheets/d/1SX6NBoVAgQJ6U1MVXOaj8PK2l7WJ3RER9xtqwdhxkhw/edit?usp=sharing"",""ชัยนาท!J158"")"),0)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IFERROR(__xludf.DUMMYFUNCTION("IMPORTRANGE(""https://docs.google.com/spreadsheets/d/1SX6NBoVAgQJ6U1MVXOaj8PK2l7WJ3RER9xtqwdhxkhw/edit?usp=sharing"",""ชัยนาท!J159"")"),"")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IFERROR(__xludf.DUMMYFUNCTION("IMPORTRANGE(""https://docs.google.com/spreadsheets/d/1SX6NBoVAgQJ6U1MVXOaj8PK2l7WJ3RER9xtqwdhxkhw/edit?usp=sharing"",""ชัยนาท!J161"")"),0)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IFERROR(__xludf.DUMMYFUNCTION("IMPORTRANGE(""https://docs.google.com/spreadsheets/d/1SX6NBoVAgQJ6U1MVXOaj8PK2l7WJ3RER9xtqwdhxkhw/edit?usp=sharing"",""ชัยนาท!J162"")"),0)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IFERROR(__xludf.DUMMYFUNCTION("IMPORTRANGE(""https://docs.google.com/spreadsheets/d/1SX6NBoVAgQJ6U1MVXOaj8PK2l7WJ3RER9xtqwdhxkhw/edit?usp=sharing"",""ชัยนาท!J163"")"),0)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IFERROR(__xludf.DUMMYFUNCTION("IMPORTRANGE(""https://docs.google.com/spreadsheets/d/1SX6NBoVAgQJ6U1MVXOaj8PK2l7WJ3RER9xtqwdhxkhw/edit?usp=sharing"",""ชัยนาท!I164"")"),0)</f>
        <v>0</v>
      </c>
      <c r="J244" s="188">
        <f ca="1">IFERROR(__xludf.DUMMYFUNCTION("IMPORTRANGE(""https://docs.google.com/spreadsheets/d/1SX6NBoVAgQJ6U1MVXOaj8PK2l7WJ3RER9xtqwdhxkhw/edit?usp=sharing"",""ชัยนาท!J164"")"),0)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IFERROR(__xludf.DUMMYFUNCTION("IMPORTRANGE(""https://docs.google.com/spreadsheets/d/1SX6NBoVAgQJ6U1MVXOaj8PK2l7WJ3RER9xtqwdhxkhw/edit?usp=sharing"",""ชัยนาท!J165"")"),0)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IFERROR(__xludf.DUMMYFUNCTION("IMPORTRANGE(""https://docs.google.com/spreadsheets/d/1SX6NBoVAgQJ6U1MVXOaj8PK2l7WJ3RER9xtqwdhxkhw/edit?usp=sharing"",""ชัยนาท!J166"")"),0)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IFERROR(__xludf.DUMMYFUNCTION("IMPORTRANGE(""https://docs.google.com/spreadsheets/d/1SX6NBoVAgQJ6U1MVXOaj8PK2l7WJ3RER9xtqwdhxkhw/edit?usp=sharing"",""ชัยนาท!I169"")"),20)</f>
        <v>20</v>
      </c>
      <c r="J249" s="316">
        <f ca="1">IFERROR(__xludf.DUMMYFUNCTION("IMPORTRANGE(""https://docs.google.com/spreadsheets/d/1SX6NBoVAgQJ6U1MVXOaj8PK2l7WJ3RER9xtqwdhxkhw/edit?usp=sharing"",""ชัยนาท!J169"")"),20)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32280</v>
      </c>
      <c r="O250" s="151">
        <f t="shared" ref="O250:O252" ca="1" si="78">IF(L250&gt;0,N250*100/L250,0)</f>
        <v>45.210084033613448</v>
      </c>
      <c r="P250" s="151">
        <f t="shared" ref="P250:P252" ca="1" si="79">IF(M250&gt;0,N250*100/M250,0)</f>
        <v>76.857142857142861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32280</v>
      </c>
      <c r="O252" s="156">
        <f t="shared" ca="1" si="78"/>
        <v>45.210084033613448</v>
      </c>
      <c r="P252" s="156">
        <f t="shared" ca="1" si="79"/>
        <v>76.857142857142861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IFERROR(__xludf.DUMMYFUNCTION("IMPORTRANGE(""https://docs.google.com/spreadsheets/d/1Yj_ptqi66GCucihVvJfMjLAmec39IyEx_6qawtMGysU/edit?usp=sharing"",""สบก!CB63"")"),42000)</f>
        <v>42000</v>
      </c>
      <c r="N254" s="169">
        <f ca="1">IFERROR(__xludf.DUMMYFUNCTION("IMPORTRANGE(""https://docs.google.com/spreadsheets/d/1Yj_ptqi66GCucihVvJfMjLAmec39IyEx_6qawtMGysU/edit?usp=sharing"",""สบก!CC63"")"),32280)</f>
        <v>32280</v>
      </c>
      <c r="O254" s="169">
        <f ca="1">IF(L254&gt;0,N254*100/L254,0)</f>
        <v>45.210084033613448</v>
      </c>
      <c r="P254" s="169">
        <f ca="1">IF(M254&gt;0,N254*100/M254,0)</f>
        <v>76.857142857142861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IFERROR(__xludf.DUMMYFUNCTION("IMPORTRANGE(""https://docs.google.com/spreadsheets/d/1Yj_ptqi66GCucihVvJfMjLAmec39IyEx_6qawtMGysU/edit?usp=sharing"",""สบก!BX63"")"),0)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IFERROR(__xludf.DUMMYFUNCTION("IMPORTRANGE(""https://docs.google.com/spreadsheets/d/1Yj_ptqi66GCucihVvJfMjLAmec39IyEx_6qawtMGysU/edit?usp=sharing"",""สบก!BY63"")"),71400)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IFERROR(__xludf.DUMMYFUNCTION("IMPORTRANGE(""https://docs.google.com/spreadsheets/d/1Yj_ptqi66GCucihVvJfMjLAmec39IyEx_6qawtMGysU/edit?usp=sharing"",""สบก!BZ63"")"),0)</f>
        <v>0</v>
      </c>
      <c r="M258" s="49"/>
      <c r="N258" s="49">
        <f ca="1">IFERROR(__xludf.DUMMYFUNCTION("IMPORTRANGE(""https://docs.google.com/spreadsheets/d/1Yj_ptqi66GCucihVvJfMjLAmec39IyEx_6qawtMGysU/edit?usp=sharing"",""สบก!CD63"")"),0)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IFERROR(__xludf.DUMMYFUNCTION("IMPORTRANGE(""https://docs.google.com/spreadsheets/d/1SX6NBoVAgQJ6U1MVXOaj8PK2l7WJ3RER9xtqwdhxkhw/edit?usp=sharing"",""ชัยนาท!J175"")"),0)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IFERROR(__xludf.DUMMYFUNCTION("IMPORTRANGE(""https://docs.google.com/spreadsheets/d/1SX6NBoVAgQJ6U1MVXOaj8PK2l7WJ3RER9xtqwdhxkhw/edit?usp=sharing"",""ชัยนาท!J176"")"),1)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IFERROR(__xludf.DUMMYFUNCTION("IMPORTRANGE(""https://docs.google.com/spreadsheets/d/1SX6NBoVAgQJ6U1MVXOaj8PK2l7WJ3RER9xtqwdhxkhw/edit?usp=sharing"",""ชัยนาท!J177"")"),1)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IFERROR(__xludf.DUMMYFUNCTION("IMPORTRANGE(""https://docs.google.com/spreadsheets/d/1SX6NBoVAgQJ6U1MVXOaj8PK2l7WJ3RER9xtqwdhxkhw/edit?usp=sharing"",""ชัยนาท!J178"")"),1)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IFERROR(__xludf.DUMMYFUNCTION("IMPORTRANGE(""https://docs.google.com/spreadsheets/d/1SX6NBoVAgQJ6U1MVXOaj8PK2l7WJ3RER9xtqwdhxkhw/edit?usp=sharing"",""ชัยนาท!I179"")"),1)</f>
        <v>1</v>
      </c>
      <c r="J264" s="189">
        <f ca="1">IFERROR(__xludf.DUMMYFUNCTION("IMPORTRANGE(""https://docs.google.com/spreadsheets/d/1SX6NBoVAgQJ6U1MVXOaj8PK2l7WJ3RER9xtqwdhxkhw/edit?usp=sharing"",""ชัยนาท!J179"")"),1)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IFERROR(__xludf.DUMMYFUNCTION("IMPORTRANGE(""https://docs.google.com/spreadsheets/d/1SX6NBoVAgQJ6U1MVXOaj8PK2l7WJ3RER9xtqwdhxkhw/edit?usp=sharing"",""ชัยนาท!I180"")"),20)</f>
        <v>20</v>
      </c>
      <c r="J265" s="189">
        <f ca="1">IFERROR(__xludf.DUMMYFUNCTION("IMPORTRANGE(""https://docs.google.com/spreadsheets/d/1SX6NBoVAgQJ6U1MVXOaj8PK2l7WJ3RER9xtqwdhxkhw/edit?usp=sharing"",""ชัยนาท!J180"")"),20)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IFERROR(__xludf.DUMMYFUNCTION("IMPORTRANGE(""https://docs.google.com/spreadsheets/d/1SX6NBoVAgQJ6U1MVXOaj8PK2l7WJ3RER9xtqwdhxkhw/edit?usp=sharing"",""ชัยนาท!I181"")"),20)</f>
        <v>20</v>
      </c>
      <c r="J266" s="189">
        <f ca="1">IFERROR(__xludf.DUMMYFUNCTION("IMPORTRANGE(""https://docs.google.com/spreadsheets/d/1SX6NBoVAgQJ6U1MVXOaj8PK2l7WJ3RER9xtqwdhxkhw/edit?usp=sharing"",""ชัยนาท!J181"")"),0)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IFERROR(__xludf.DUMMYFUNCTION("IMPORTRANGE(""https://docs.google.com/spreadsheets/d/1SX6NBoVAgQJ6U1MVXOaj8PK2l7WJ3RER9xtqwdhxkhw/edit?usp=sharing"",""ชัยนาท!I182"")"),1)</f>
        <v>1</v>
      </c>
      <c r="J267" s="189">
        <f ca="1">IFERROR(__xludf.DUMMYFUNCTION("IMPORTRANGE(""https://docs.google.com/spreadsheets/d/1SX6NBoVAgQJ6U1MVXOaj8PK2l7WJ3RER9xtqwdhxkhw/edit?usp=sharing"",""ชัยนาท!J182"")"),1)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IFERROR(__xludf.DUMMYFUNCTION("IMPORTRANGE(""https://docs.google.com/spreadsheets/d/1SX6NBoVAgQJ6U1MVXOaj8PK2l7WJ3RER9xtqwdhxkhw/edit?usp=sharing"",""ชัยนาท!J183"")"),0)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IFERROR(__xludf.DUMMYFUNCTION("IMPORTRANGE(""https://docs.google.com/spreadsheets/d/1SX6NBoVAgQJ6U1MVXOaj8PK2l7WJ3RER9xtqwdhxkhw/edit?usp=sharing"",""ชัยนาท!J184"")"),0)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IFERROR(__xludf.DUMMYFUNCTION("IMPORTRANGE(""https://docs.google.com/spreadsheets/d/1SX6NBoVAgQJ6U1MVXOaj8PK2l7WJ3RER9xtqwdhxkhw/edit?usp=sharing"",""ชัยนาท!I185"")"),15)</f>
        <v>15</v>
      </c>
      <c r="J270" s="316">
        <f ca="1">IFERROR(__xludf.DUMMYFUNCTION("IMPORTRANGE(""https://docs.google.com/spreadsheets/d/1SX6NBoVAgQJ6U1MVXOaj8PK2l7WJ3RER9xtqwdhxkhw/edit?usp=sharing"",""ชัยนาท!J185"")"),15)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165200</v>
      </c>
      <c r="M271" s="152">
        <f t="shared" ca="1" si="83"/>
        <v>143200</v>
      </c>
      <c r="N271" s="152">
        <f t="shared" ca="1" si="83"/>
        <v>70780</v>
      </c>
      <c r="O271" s="151">
        <f t="shared" ref="O271:O273" ca="1" si="84">IF(L271&gt;0,N271*100/L271,0)</f>
        <v>42.845036319612589</v>
      </c>
      <c r="P271" s="151">
        <f t="shared" ref="P271:P273" ca="1" si="85">IF(M271&gt;0,N271*100/M271,0)</f>
        <v>49.427374301675975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165200</v>
      </c>
      <c r="M273" s="157">
        <f t="shared" ca="1" si="87"/>
        <v>143200</v>
      </c>
      <c r="N273" s="157">
        <f t="shared" ca="1" si="87"/>
        <v>70780</v>
      </c>
      <c r="O273" s="156">
        <f t="shared" ca="1" si="84"/>
        <v>42.845036319612589</v>
      </c>
      <c r="P273" s="156">
        <f t="shared" ca="1" si="85"/>
        <v>49.427374301675975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165200</v>
      </c>
      <c r="M275" s="168">
        <f ca="1">IFERROR(__xludf.DUMMYFUNCTION("IMPORTRANGE(""https://docs.google.com/spreadsheets/d/1Yj_ptqi66GCucihVvJfMjLAmec39IyEx_6qawtMGysU/edit?usp=sharing"",""สบก!CK63"")"),143200)</f>
        <v>143200</v>
      </c>
      <c r="N275" s="169">
        <f ca="1">IFERROR(__xludf.DUMMYFUNCTION("IMPORTRANGE(""https://docs.google.com/spreadsheets/d/1Yj_ptqi66GCucihVvJfMjLAmec39IyEx_6qawtMGysU/edit?usp=sharing"",""สบก!CL63"")"),70780)</f>
        <v>70780</v>
      </c>
      <c r="O275" s="169">
        <f ca="1">IF(L275&gt;0,N275*100/L275,0)</f>
        <v>42.845036319612589</v>
      </c>
      <c r="P275" s="169">
        <f ca="1">IF(M275&gt;0,N275*100/M275,0)</f>
        <v>49.427374301675975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IFERROR(__xludf.DUMMYFUNCTION("IMPORTRANGE(""https://docs.google.com/spreadsheets/d/1Yj_ptqi66GCucihVvJfMjLAmec39IyEx_6qawtMGysU/edit?usp=sharing"",""สบก!CG63"")"),0)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IFERROR(__xludf.DUMMYFUNCTION("IMPORTRANGE(""https://docs.google.com/spreadsheets/d/1Yj_ptqi66GCucihVvJfMjLAmec39IyEx_6qawtMGysU/edit?usp=sharing"",""สบก!CH63"")"),165200)</f>
        <v>165200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IFERROR(__xludf.DUMMYFUNCTION("IMPORTRANGE(""https://docs.google.com/spreadsheets/d/1Yj_ptqi66GCucihVvJfMjLAmec39IyEx_6qawtMGysU/edit?usp=sharing"",""สบก!CI63"")"),0)</f>
        <v>0</v>
      </c>
      <c r="M279" s="49"/>
      <c r="N279" s="49">
        <f ca="1">IFERROR(__xludf.DUMMYFUNCTION("IMPORTRANGE(""https://docs.google.com/spreadsheets/d/1Yj_ptqi66GCucihVvJfMjLAmec39IyEx_6qawtMGysU/edit?usp=sharing"",""สบก!CM63"")"),0)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IFERROR(__xludf.DUMMYFUNCTION("IMPORTRANGE(""https://docs.google.com/spreadsheets/d/1SX6NBoVAgQJ6U1MVXOaj8PK2l7WJ3RER9xtqwdhxkhw/edit?usp=sharing"",""ชัยนาท!J191"")"),0)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IFERROR(__xludf.DUMMYFUNCTION("IMPORTRANGE(""https://docs.google.com/spreadsheets/d/1SX6NBoVAgQJ6U1MVXOaj8PK2l7WJ3RER9xtqwdhxkhw/edit?usp=sharing"",""ชัยนาท!J192"")"),1)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IFERROR(__xludf.DUMMYFUNCTION("IMPORTRANGE(""https://docs.google.com/spreadsheets/d/1SX6NBoVAgQJ6U1MVXOaj8PK2l7WJ3RER9xtqwdhxkhw/edit?usp=sharing"",""ชัยนาท!J193"")"),1)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IFERROR(__xludf.DUMMYFUNCTION("IMPORTRANGE(""https://docs.google.com/spreadsheets/d/1SX6NBoVAgQJ6U1MVXOaj8PK2l7WJ3RER9xtqwdhxkhw/edit?usp=sharing"",""ชัยนาท!J194"")"),1)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IFERROR(__xludf.DUMMYFUNCTION("IMPORTRANGE(""https://docs.google.com/spreadsheets/d/1SX6NBoVAgQJ6U1MVXOaj8PK2l7WJ3RER9xtqwdhxkhw/edit?usp=sharing"",""ชัยนาท!I195"")"),15)</f>
        <v>15</v>
      </c>
      <c r="J285" s="189">
        <f ca="1">IFERROR(__xludf.DUMMYFUNCTION("IMPORTRANGE(""https://docs.google.com/spreadsheets/d/1SX6NBoVAgQJ6U1MVXOaj8PK2l7WJ3RER9xtqwdhxkhw/edit?usp=sharing"",""ชัยนาท!J195"")"),15)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IFERROR(__xludf.DUMMYFUNCTION("IMPORTRANGE(""https://docs.google.com/spreadsheets/d/1SX6NBoVAgQJ6U1MVXOaj8PK2l7WJ3RER9xtqwdhxkhw/edit?usp=sharing"",""ชัยนาท!J196"")"),0)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IFERROR(__xludf.DUMMYFUNCTION("IMPORTRANGE(""https://docs.google.com/spreadsheets/d/1SX6NBoVAgQJ6U1MVXOaj8PK2l7WJ3RER9xtqwdhxkhw/edit?usp=sharing"",""ชัยนาท!J197"")"),0)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IFERROR(__xludf.DUMMYFUNCTION("IMPORTRANGE(""https://docs.google.com/spreadsheets/d/1SX6NBoVAgQJ6U1MVXOaj8PK2l7WJ3RER9xtqwdhxkhw/edit?usp=sharing"",""ชัยนาท!I199"")"),0)</f>
        <v>0</v>
      </c>
      <c r="J289" s="316">
        <f ca="1">IFERROR(__xludf.DUMMYFUNCTION("IMPORTRANGE(""https://docs.google.com/spreadsheets/d/1SX6NBoVAgQJ6U1MVXOaj8PK2l7WJ3RER9xtqwdhxkhw/edit?usp=sharing"",""ชัยนาท!J199"")"),0)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IFERROR(__xludf.DUMMYFUNCTION("IMPORTRANGE(""https://docs.google.com/spreadsheets/d/1Yj_ptqi66GCucihVvJfMjLAmec39IyEx_6qawtMGysU/edit?usp=sharing"",""สบก!CT63"")"),0)</f>
        <v>0</v>
      </c>
      <c r="N294" s="169">
        <f ca="1">IFERROR(__xludf.DUMMYFUNCTION("IMPORTRANGE(""https://docs.google.com/spreadsheets/d/1Yj_ptqi66GCucihVvJfMjLAmec39IyEx_6qawtMGysU/edit?usp=sharing"",""สบก!CU63"")"),0)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IFERROR(__xludf.DUMMYFUNCTION("IMPORTRANGE(""https://docs.google.com/spreadsheets/d/1Yj_ptqi66GCucihVvJfMjLAmec39IyEx_6qawtMGysU/edit?usp=sharing"",""สบก!CP63"")"),0)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IFERROR(__xludf.DUMMYFUNCTION("IMPORTRANGE(""https://docs.google.com/spreadsheets/d/1Yj_ptqi66GCucihVvJfMjLAmec39IyEx_6qawtMGysU/edit?usp=sharing"",""สบก!CQ63"")"),0)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IFERROR(__xludf.DUMMYFUNCTION("IMPORTRANGE(""https://docs.google.com/spreadsheets/d/1Yj_ptqi66GCucihVvJfMjLAmec39IyEx_6qawtMGysU/edit?usp=sharing"",""สบก!CR63"")"),0)</f>
        <v>0</v>
      </c>
      <c r="M298" s="49"/>
      <c r="N298" s="49">
        <f ca="1">IFERROR(__xludf.DUMMYFUNCTION("IMPORTRANGE(""https://docs.google.com/spreadsheets/d/1Yj_ptqi66GCucihVvJfMjLAmec39IyEx_6qawtMGysU/edit?usp=sharing"",""สบก!CV63"")"),0)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IFERROR(__xludf.DUMMYFUNCTION("IMPORTRANGE(""https://docs.google.com/spreadsheets/d/1SX6NBoVAgQJ6U1MVXOaj8PK2l7WJ3RER9xtqwdhxkhw/edit?usp=sharing"",""ชัยนาท!J205"")"),0)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IFERROR(__xludf.DUMMYFUNCTION("IMPORTRANGE(""https://docs.google.com/spreadsheets/d/1SX6NBoVAgQJ6U1MVXOaj8PK2l7WJ3RER9xtqwdhxkhw/edit?usp=sharing"",""ชัยนาท!J206"")"),0)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IFERROR(__xludf.DUMMYFUNCTION("IMPORTRANGE(""https://docs.google.com/spreadsheets/d/1SX6NBoVAgQJ6U1MVXOaj8PK2l7WJ3RER9xtqwdhxkhw/edit?usp=sharing"",""ชัยนาท!J207"")"),0)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IFERROR(__xludf.DUMMYFUNCTION("IMPORTRANGE(""https://docs.google.com/spreadsheets/d/1SX6NBoVAgQJ6U1MVXOaj8PK2l7WJ3RER9xtqwdhxkhw/edit?usp=sharing"",""ชัยนาท!J208"")"),0)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IFERROR(__xludf.DUMMYFUNCTION("IMPORTRANGE(""https://docs.google.com/spreadsheets/d/1SX6NBoVAgQJ6U1MVXOaj8PK2l7WJ3RER9xtqwdhxkhw/edit?usp=sharing"",""ชัยนาท!I209"")"),0)</f>
        <v>0</v>
      </c>
      <c r="J304" s="204">
        <f ca="1">IFERROR(__xludf.DUMMYFUNCTION("IMPORTRANGE(""https://docs.google.com/spreadsheets/d/1SX6NBoVAgQJ6U1MVXOaj8PK2l7WJ3RER9xtqwdhxkhw/edit?usp=sharing"",""ชัยนาท!J209"")"),0)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IFERROR(__xludf.DUMMYFUNCTION("IMPORTRANGE(""https://docs.google.com/spreadsheets/d/1SX6NBoVAgQJ6U1MVXOaj8PK2l7WJ3RER9xtqwdhxkhw/edit?usp=sharing"",""ชัยนาท!I211"")"),0)</f>
        <v>0</v>
      </c>
      <c r="J306" s="204">
        <f ca="1">IFERROR(__xludf.DUMMYFUNCTION("IMPORTRANGE(""https://docs.google.com/spreadsheets/d/1SX6NBoVAgQJ6U1MVXOaj8PK2l7WJ3RER9xtqwdhxkhw/edit?usp=sharing"",""ชัยนาท!J211"")"),0)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IFERROR(__xludf.DUMMYFUNCTION("IMPORTRANGE(""https://docs.google.com/spreadsheets/d/1SX6NBoVAgQJ6U1MVXOaj8PK2l7WJ3RER9xtqwdhxkhw/edit?usp=sharing"",""ชัยนาท!J212"")"),0)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IFERROR(__xludf.DUMMYFUNCTION("IMPORTRANGE(""https://docs.google.com/spreadsheets/d/1SX6NBoVAgQJ6U1MVXOaj8PK2l7WJ3RER9xtqwdhxkhw/edit?usp=sharing"",""ชัยนาท!J213"")"),0)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IFERROR(__xludf.DUMMYFUNCTION("IMPORTRANGE(""https://docs.google.com/spreadsheets/d/1SX6NBoVAgQJ6U1MVXOaj8PK2l7WJ3RER9xtqwdhxkhw/edit?usp=sharing"",""ชัยนาท!I214"")"),0)</f>
        <v>0</v>
      </c>
      <c r="J309" s="333">
        <f ca="1">IFERROR(__xludf.DUMMYFUNCTION("IMPORTRANGE(""https://docs.google.com/spreadsheets/d/1SX6NBoVAgQJ6U1MVXOaj8PK2l7WJ3RER9xtqwdhxkhw/edit?usp=sharing"",""ชัยนาท!J214"")"),0)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IFERROR(__xludf.DUMMYFUNCTION("IMPORTRANGE(""https://docs.google.com/spreadsheets/d/1Yj_ptqi66GCucihVvJfMjLAmec39IyEx_6qawtMGysU/edit?usp=sharing"",""สบก!DC63"")"),0)</f>
        <v>0</v>
      </c>
      <c r="N314" s="169">
        <f ca="1">IFERROR(__xludf.DUMMYFUNCTION("IMPORTRANGE(""https://docs.google.com/spreadsheets/d/1Yj_ptqi66GCucihVvJfMjLAmec39IyEx_6qawtMGysU/edit?usp=sharing"",""สบก!DD63"")"),0)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IFERROR(__xludf.DUMMYFUNCTION("IMPORTRANGE(""https://docs.google.com/spreadsheets/d/1Yj_ptqi66GCucihVvJfMjLAmec39IyEx_6qawtMGysU/edit?usp=sharing"",""สบก!CY63"")"),0)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IFERROR(__xludf.DUMMYFUNCTION("IMPORTRANGE(""https://docs.google.com/spreadsheets/d/1Yj_ptqi66GCucihVvJfMjLAmec39IyEx_6qawtMGysU/edit?usp=sharing"",""สบก!CZ63"")"),0)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IFERROR(__xludf.DUMMYFUNCTION("IMPORTRANGE(""https://docs.google.com/spreadsheets/d/1Yj_ptqi66GCucihVvJfMjLAmec39IyEx_6qawtMGysU/edit?usp=sharing"",""สบก!DA63"")"),0)</f>
        <v>0</v>
      </c>
      <c r="M318" s="49"/>
      <c r="N318" s="49">
        <f ca="1">IFERROR(__xludf.DUMMYFUNCTION("IMPORTRANGE(""https://docs.google.com/spreadsheets/d/1Yj_ptqi66GCucihVvJfMjLAmec39IyEx_6qawtMGysU/edit?usp=sharing"",""สบก!DE63"")"),0)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IFERROR(__xludf.DUMMYFUNCTION("IMPORTRANGE(""https://docs.google.com/spreadsheets/d/1SX6NBoVAgQJ6U1MVXOaj8PK2l7WJ3RER9xtqwdhxkhw/edit?usp=sharing"",""ชัยนาท!J220"")"),0)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IFERROR(__xludf.DUMMYFUNCTION("IMPORTRANGE(""https://docs.google.com/spreadsheets/d/1SX6NBoVAgQJ6U1MVXOaj8PK2l7WJ3RER9xtqwdhxkhw/edit?usp=sharing"",""ชัยนาท!J221"")"),0)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IFERROR(__xludf.DUMMYFUNCTION("IMPORTRANGE(""https://docs.google.com/spreadsheets/d/1SX6NBoVAgQJ6U1MVXOaj8PK2l7WJ3RER9xtqwdhxkhw/edit?usp=sharing"",""ชัยนาท!J222"")"),0)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IFERROR(__xludf.DUMMYFUNCTION("IMPORTRANGE(""https://docs.google.com/spreadsheets/d/1SX6NBoVAgQJ6U1MVXOaj8PK2l7WJ3RER9xtqwdhxkhw/edit?usp=sharing"",""ชัยนาท!J223"")"),0)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IFERROR(__xludf.DUMMYFUNCTION("IMPORTRANGE(""https://docs.google.com/spreadsheets/d/1SX6NBoVAgQJ6U1MVXOaj8PK2l7WJ3RER9xtqwdhxkhw/edit?usp=sharing"",""ชัยนาท!I224"")"),0)</f>
        <v>0</v>
      </c>
      <c r="J324" s="204">
        <f ca="1">IFERROR(__xludf.DUMMYFUNCTION("IMPORTRANGE(""https://docs.google.com/spreadsheets/d/1SX6NBoVAgQJ6U1MVXOaj8PK2l7WJ3RER9xtqwdhxkhw/edit?usp=sharing"",""ชัยนาท!J224"")"),0)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IFERROR(__xludf.DUMMYFUNCTION("IMPORTRANGE(""https://docs.google.com/spreadsheets/d/1SX6NBoVAgQJ6U1MVXOaj8PK2l7WJ3RER9xtqwdhxkhw/edit?usp=sharing"",""ชัยนาท!J225"")"),0)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IFERROR(__xludf.DUMMYFUNCTION("IMPORTRANGE(""https://docs.google.com/spreadsheets/d/1SX6NBoVAgQJ6U1MVXOaj8PK2l7WJ3RER9xtqwdhxkhw/edit?usp=sharing"",""ชัยนาท!J226"")"),0)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IFERROR(__xludf.DUMMYFUNCTION("IMPORTRANGE(""https://docs.google.com/spreadsheets/d/1SX6NBoVAgQJ6U1MVXOaj8PK2l7WJ3RER9xtqwdhxkhw/edit?usp=sharing"",""ชัยนาท!I228"")"),27)</f>
        <v>27</v>
      </c>
      <c r="J328" s="339">
        <f ca="1">IFERROR(__xludf.DUMMYFUNCTION("IMPORTRANGE(""https://docs.google.com/spreadsheets/d/1SX6NBoVAgQJ6U1MVXOaj8PK2l7WJ3RER9xtqwdhxkhw/edit?usp=sharing"",""ชัยนาท!J228"")"),20)</f>
        <v>20</v>
      </c>
      <c r="K328" s="317">
        <f ca="1">IF(I328&gt;0,J328*100/I328,0)</f>
        <v>74.074074074074076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647730</v>
      </c>
      <c r="M329" s="152">
        <f t="shared" ca="1" si="98"/>
        <v>507430</v>
      </c>
      <c r="N329" s="152">
        <f t="shared" ca="1" si="98"/>
        <v>383505</v>
      </c>
      <c r="O329" s="151">
        <f t="shared" ref="O329:O331" ca="1" si="99">IF(L329&gt;0,N329*100/L329,0)</f>
        <v>59.207540178778196</v>
      </c>
      <c r="P329" s="151">
        <f t="shared" ref="P329:P331" ca="1" si="100">IF(M329&gt;0,N329*100/M329,0)</f>
        <v>75.577912224346221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647730</v>
      </c>
      <c r="M331" s="157">
        <f t="shared" ca="1" si="102"/>
        <v>507430</v>
      </c>
      <c r="N331" s="157">
        <f t="shared" ca="1" si="102"/>
        <v>383505</v>
      </c>
      <c r="O331" s="156">
        <f t="shared" ca="1" si="99"/>
        <v>59.207540178778196</v>
      </c>
      <c r="P331" s="156">
        <f t="shared" ca="1" si="100"/>
        <v>75.577912224346221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508730</v>
      </c>
      <c r="M333" s="168">
        <f ca="1">IFERROR(__xludf.DUMMYFUNCTION("IMPORTRANGE(""https://docs.google.com/spreadsheets/d/1Yj_ptqi66GCucihVvJfMjLAmec39IyEx_6qawtMGysU/edit?usp=sharing"",""สบก!DL63"")"),368430)</f>
        <v>368430</v>
      </c>
      <c r="N333" s="169">
        <f ca="1">IFERROR(__xludf.DUMMYFUNCTION("IMPORTRANGE(""https://docs.google.com/spreadsheets/d/1Yj_ptqi66GCucihVvJfMjLAmec39IyEx_6qawtMGysU/edit?usp=sharing"",""สบก!DM63"")"),244505)</f>
        <v>244505</v>
      </c>
      <c r="O333" s="169">
        <f ca="1">IF(L333&gt;0,N333*100/L333,0)</f>
        <v>48.061840268904923</v>
      </c>
      <c r="P333" s="169">
        <f ca="1">IF(M333&gt;0,N333*100/M333,0)</f>
        <v>66.364031159243282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IFERROR(__xludf.DUMMYFUNCTION("IMPORTRANGE(""https://docs.google.com/spreadsheets/d/1Yj_ptqi66GCucihVvJfMjLAmec39IyEx_6qawtMGysU/edit?usp=sharing"",""สบก!DH63"")"),306000)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IFERROR(__xludf.DUMMYFUNCTION("IMPORTRANGE(""https://docs.google.com/spreadsheets/d/1Yj_ptqi66GCucihVvJfMjLAmec39IyEx_6qawtMGysU/edit?usp=sharing"",""สบก!DI63"")"),202730)</f>
        <v>202730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IFERROR(__xludf.DUMMYFUNCTION("IMPORTRANGE(""https://docs.google.com/spreadsheets/d/1Yj_ptqi66GCucihVvJfMjLAmec39IyEx_6qawtMGysU/edit?usp=sharing"",""สบก!DJ63"")"),139000)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IFERROR(__xludf.DUMMYFUNCTION("IMPORTRANGE(""https://docs.google.com/spreadsheets/d/1Yj_ptqi66GCucihVvJfMjLAmec39IyEx_6qawtMGysU/edit?usp=sharing"",""สบก!DN63"")"),139000)</f>
        <v>139000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IFERROR(__xludf.DUMMYFUNCTION("IMPORTRANGE(""https://docs.google.com/spreadsheets/d/1SX6NBoVAgQJ6U1MVXOaj8PK2l7WJ3RER9xtqwdhxkhw/edit?usp=sharing"",""ชัยนาท!I234"")"),0)</f>
        <v>0</v>
      </c>
      <c r="J339" s="188">
        <f ca="1">IFERROR(__xludf.DUMMYFUNCTION("IMPORTRANGE(""https://docs.google.com/spreadsheets/d/1SX6NBoVAgQJ6U1MVXOaj8PK2l7WJ3RER9xtqwdhxkhw/edit?usp=sharing"",""ชัยนาท!J234"")"),11)</f>
        <v>11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IFERROR(__xludf.DUMMYFUNCTION("IMPORTRANGE(""https://docs.google.com/spreadsheets/d/1SX6NBoVAgQJ6U1MVXOaj8PK2l7WJ3RER9xtqwdhxkhw/edit?usp=sharing"",""ชัยนาท!I235"")"),144)</f>
        <v>144</v>
      </c>
      <c r="J340" s="188">
        <f ca="1">IFERROR(__xludf.DUMMYFUNCTION("IMPORTRANGE(""https://docs.google.com/spreadsheets/d/1SX6NBoVAgQJ6U1MVXOaj8PK2l7WJ3RER9xtqwdhxkhw/edit?usp=sharing"",""ชัยนาท!J235"")"),136.62)</f>
        <v>136.62</v>
      </c>
      <c r="K340" s="342">
        <f t="shared" ca="1" si="103"/>
        <v>94.875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IFERROR(__xludf.DUMMYFUNCTION("IMPORTRANGE(""https://docs.google.com/spreadsheets/d/1SX6NBoVAgQJ6U1MVXOaj8PK2l7WJ3RER9xtqwdhxkhw/edit?usp=sharing"",""ชัยนาท!I236"")"),27)</f>
        <v>27</v>
      </c>
      <c r="J341" s="188">
        <f ca="1">IFERROR(__xludf.DUMMYFUNCTION("IMPORTRANGE(""https://docs.google.com/spreadsheets/d/1SX6NBoVAgQJ6U1MVXOaj8PK2l7WJ3RER9xtqwdhxkhw/edit?usp=sharing"",""ชัยนาท!J236"")"),20)</f>
        <v>20</v>
      </c>
      <c r="K341" s="342">
        <f t="shared" ca="1" si="103"/>
        <v>74.074074074074076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IFERROR(__xludf.DUMMYFUNCTION("IMPORTRANGE(""https://docs.google.com/spreadsheets/d/1SX6NBoVAgQJ6U1MVXOaj8PK2l7WJ3RER9xtqwdhxkhw/edit?usp=sharing"",""ชัยนาท!I237"")"),0)</f>
        <v>0</v>
      </c>
      <c r="J342" s="188">
        <f ca="1">IFERROR(__xludf.DUMMYFUNCTION("IMPORTRANGE(""https://docs.google.com/spreadsheets/d/1SX6NBoVAgQJ6U1MVXOaj8PK2l7WJ3RER9xtqwdhxkhw/edit?usp=sharing"",""ชัยนาท!J237"")"),238.53)</f>
        <v>238.53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IFERROR(__xludf.DUMMYFUNCTION("IMPORTRANGE(""https://docs.google.com/spreadsheets/d/1SX6NBoVAgQJ6U1MVXOaj8PK2l7WJ3RER9xtqwdhxkhw/edit?usp=sharing"",""ชัยนาท!I238"")"),27)</f>
        <v>27</v>
      </c>
      <c r="J343" s="188">
        <f ca="1">IFERROR(__xludf.DUMMYFUNCTION("IMPORTRANGE(""https://docs.google.com/spreadsheets/d/1SX6NBoVAgQJ6U1MVXOaj8PK2l7WJ3RER9xtqwdhxkhw/edit?usp=sharing"",""ชัยนาท!J238"")"),0)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IFERROR(__xludf.DUMMYFUNCTION("IMPORTRANGE(""https://docs.google.com/spreadsheets/d/1SX6NBoVAgQJ6U1MVXOaj8PK2l7WJ3RER9xtqwdhxkhw/edit?usp=sharing"",""ชัยนาท!I239"")"),0)</f>
        <v>0</v>
      </c>
      <c r="J344" s="188">
        <f ca="1">IFERROR(__xludf.DUMMYFUNCTION("IMPORTRANGE(""https://docs.google.com/spreadsheets/d/1SX6NBoVAgQJ6U1MVXOaj8PK2l7WJ3RER9xtqwdhxkhw/edit?usp=sharing"",""ชัยนาท!J239"")"),0)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IFERROR(__xludf.DUMMYFUNCTION("IMPORTRANGE(""https://docs.google.com/spreadsheets/d/1SX6NBoVAgQJ6U1MVXOaj8PK2l7WJ3RER9xtqwdhxkhw/edit?usp=sharing"",""ชัยนาท!I240"")"),27)</f>
        <v>27</v>
      </c>
      <c r="J345" s="188">
        <f ca="1">IFERROR(__xludf.DUMMYFUNCTION("IMPORTRANGE(""https://docs.google.com/spreadsheets/d/1SX6NBoVAgQJ6U1MVXOaj8PK2l7WJ3RER9xtqwdhxkhw/edit?usp=sharing"",""ชัยนาท!J240"")"),20)</f>
        <v>20</v>
      </c>
      <c r="K345" s="342">
        <f t="shared" ca="1" si="103"/>
        <v>74.074074074074076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IFERROR(__xludf.DUMMYFUNCTION("IMPORTRANGE(""https://docs.google.com/spreadsheets/d/1SX6NBoVAgQJ6U1MVXOaj8PK2l7WJ3RER9xtqwdhxkhw/edit?usp=sharing"",""ชัยนาท!I241"")"),0)</f>
        <v>0</v>
      </c>
      <c r="J346" s="188">
        <f ca="1">IFERROR(__xludf.DUMMYFUNCTION("IMPORTRANGE(""https://docs.google.com/spreadsheets/d/1SX6NBoVAgQJ6U1MVXOaj8PK2l7WJ3RER9xtqwdhxkhw/edit?usp=sharing"",""ชัยนาท!J241"")"),238.53)</f>
        <v>238.53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IFERROR(__xludf.DUMMYFUNCTION("IMPORTRANGE(""https://docs.google.com/spreadsheets/d/1SX6NBoVAgQJ6U1MVXOaj8PK2l7WJ3RER9xtqwdhxkhw/edit?usp=sharing"",""ชัยนาท!L242"")"),833674)</f>
        <v>833674</v>
      </c>
      <c r="M347" s="358"/>
      <c r="N347" s="358">
        <f ca="1">IFERROR(__xludf.DUMMYFUNCTION("IMPORTRANGE(""https://docs.google.com/spreadsheets/d/1SX6NBoVAgQJ6U1MVXOaj8PK2l7WJ3RER9xtqwdhxkhw/edit?usp=sharing"",""ชัยนาท!M242"")"),474025)</f>
        <v>474025</v>
      </c>
      <c r="O347" s="358">
        <f ca="1">+IF(L347&gt;0,N347*100/L347,0)</f>
        <v>56.859755731856815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IFERROR(__xludf.DUMMYFUNCTION("IMPORTRANGE(""https://docs.google.com/spreadsheets/d/1SX6NBoVAgQJ6U1MVXOaj8PK2l7WJ3RER9xtqwdhxkhw/edit?usp=sharing"",""ชัยนาท!I244"")"),10)</f>
        <v>10</v>
      </c>
      <c r="J349" s="371">
        <f ca="1">IFERROR(__xludf.DUMMYFUNCTION("IMPORTRANGE(""https://docs.google.com/spreadsheets/d/1SX6NBoVAgQJ6U1MVXOaj8PK2l7WJ3RER9xtqwdhxkhw/edit?usp=sharing"",""ชัยนาท!J244"")"),0)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IFERROR(__xludf.DUMMYFUNCTION("IMPORTRANGE(""https://docs.google.com/spreadsheets/d/1SX6NBoVAgQJ6U1MVXOaj8PK2l7WJ3RER9xtqwdhxkhw/edit?usp=sharing"",""ชัยนาท!L244"")"),49720)</f>
        <v>49720</v>
      </c>
      <c r="M349" s="373"/>
      <c r="N349" s="373">
        <f ca="1">IFERROR(__xludf.DUMMYFUNCTION("IMPORTRANGE(""https://docs.google.com/spreadsheets/d/1SX6NBoVAgQJ6U1MVXOaj8PK2l7WJ3RER9xtqwdhxkhw/edit?usp=sharing"",""ชัยนาท!M244"")"),19635)</f>
        <v>19635</v>
      </c>
      <c r="O349" s="373">
        <f ca="1">+IF(L349&gt;0,N349*100/L349,0)</f>
        <v>39.491150442477874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IFERROR(__xludf.DUMMYFUNCTION("IMPORTRANGE(""https://docs.google.com/spreadsheets/d/1SX6NBoVAgQJ6U1MVXOaj8PK2l7WJ3RER9xtqwdhxkhw/edit?usp=sharing"",""ชัยนาท!I245"")"),10)</f>
        <v>10</v>
      </c>
      <c r="J350" s="371">
        <f ca="1">IFERROR(__xludf.DUMMYFUNCTION("IMPORTRANGE(""https://docs.google.com/spreadsheets/d/1SX6NBoVAgQJ6U1MVXOaj8PK2l7WJ3RER9xtqwdhxkhw/edit?usp=sharing"",""ชัยนาท!J245"")"),10)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IFERROR(__xludf.DUMMYFUNCTION("IMPORTRANGE(""https://docs.google.com/spreadsheets/d/1SX6NBoVAgQJ6U1MVXOaj8PK2l7WJ3RER9xtqwdhxkhw/edit?usp=sharing"",""ชัยนาท!L246"")"),0)</f>
        <v>0</v>
      </c>
      <c r="M351" s="164"/>
      <c r="N351" s="164">
        <f ca="1">IFERROR(__xludf.DUMMYFUNCTION("IMPORTRANGE(""https://docs.google.com/spreadsheets/d/1SX6NBoVAgQJ6U1MVXOaj8PK2l7WJ3RER9xtqwdhxkhw/edit?usp=sharing"",""ชัยนาท!M246"")"),0)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IFERROR(__xludf.DUMMYFUNCTION("IMPORTRANGE(""https://docs.google.com/spreadsheets/d/1SX6NBoVAgQJ6U1MVXOaj8PK2l7WJ3RER9xtqwdhxkhw/edit?usp=sharing"",""ชัยนาท!L247"")"),49720)</f>
        <v>49720</v>
      </c>
      <c r="M352" s="165"/>
      <c r="N352" s="164">
        <f ca="1">IFERROR(__xludf.DUMMYFUNCTION("IMPORTRANGE(""https://docs.google.com/spreadsheets/d/1SX6NBoVAgQJ6U1MVXOaj8PK2l7WJ3RER9xtqwdhxkhw/edit?usp=sharing"",""ชัยนาท!M247"")"),19635)</f>
        <v>19635</v>
      </c>
      <c r="O352" s="165">
        <f t="shared" ca="1" si="105"/>
        <v>39.491150442477874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IFERROR(__xludf.DUMMYFUNCTION("IMPORTRANGE(""https://docs.google.com/spreadsheets/d/1SX6NBoVAgQJ6U1MVXOaj8PK2l7WJ3RER9xtqwdhxkhw/edit?usp=sharing"",""ชัยนาท!L248"")"),0)</f>
        <v>0</v>
      </c>
      <c r="M353" s="169"/>
      <c r="N353" s="169">
        <f ca="1">IFERROR(__xludf.DUMMYFUNCTION("IMPORTRANGE(""https://docs.google.com/spreadsheets/d/1SX6NBoVAgQJ6U1MVXOaj8PK2l7WJ3RER9xtqwdhxkhw/edit?usp=sharing"",""ชัยนาท!M248"")"),0)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IFERROR(__xludf.DUMMYFUNCTION("IMPORTRANGE(""https://docs.google.com/spreadsheets/d/1SX6NBoVAgQJ6U1MVXOaj8PK2l7WJ3RER9xtqwdhxkhw/edit?usp=sharing"",""ชัยนาท!L249"")"),49720)</f>
        <v>49720</v>
      </c>
      <c r="M354" s="169"/>
      <c r="N354" s="168">
        <f ca="1">IFERROR(__xludf.DUMMYFUNCTION("IMPORTRANGE(""https://docs.google.com/spreadsheets/d/1SX6NBoVAgQJ6U1MVXOaj8PK2l7WJ3RER9xtqwdhxkhw/edit?usp=sharing"",""ชัยนาท!M249"")"),19635)</f>
        <v>19635</v>
      </c>
      <c r="O354" s="169">
        <f t="shared" ca="1" si="105"/>
        <v>39.491150442477874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IFERROR(__xludf.DUMMYFUNCTION("IMPORTRANGE(""https://docs.google.com/spreadsheets/d/1SX6NBoVAgQJ6U1MVXOaj8PK2l7WJ3RER9xtqwdhxkhw/edit?usp=sharing"",""ชัยนาท!M250"")"),16200)</f>
        <v>16200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IFERROR(__xludf.DUMMYFUNCTION("IMPORTRANGE(""https://docs.google.com/spreadsheets/d/1SX6NBoVAgQJ6U1MVXOaj8PK2l7WJ3RER9xtqwdhxkhw/edit?usp=sharing"",""ชัยนาท!M251"")"),1220)</f>
        <v>1220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IFERROR(__xludf.DUMMYFUNCTION("IMPORTRANGE(""https://docs.google.com/spreadsheets/d/1SX6NBoVAgQJ6U1MVXOaj8PK2l7WJ3RER9xtqwdhxkhw/edit?usp=sharing"",""ชัยนาท!M252"")"),0)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IFERROR(__xludf.DUMMYFUNCTION("IMPORTRANGE(""https://docs.google.com/spreadsheets/d/1SX6NBoVAgQJ6U1MVXOaj8PK2l7WJ3RER9xtqwdhxkhw/edit?usp=sharing"",""ชัยนาท!M253"")"),2215)</f>
        <v>2215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IFERROR(__xludf.DUMMYFUNCTION("IMPORTRANGE(""https://docs.google.com/spreadsheets/d/1SX6NBoVAgQJ6U1MVXOaj8PK2l7WJ3RER9xtqwdhxkhw/edit?usp=sharing"",""ชัยนาท!J255"")"),0)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IFERROR(__xludf.DUMMYFUNCTION("IMPORTRANGE(""https://docs.google.com/spreadsheets/d/1SX6NBoVAgQJ6U1MVXOaj8PK2l7WJ3RER9xtqwdhxkhw/edit?usp=sharing"",""ชัยนาท!J256"")"),1)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IFERROR(__xludf.DUMMYFUNCTION("IMPORTRANGE(""https://docs.google.com/spreadsheets/d/1SX6NBoVAgQJ6U1MVXOaj8PK2l7WJ3RER9xtqwdhxkhw/edit?usp=sharing"",""ชัยนาท!J257"")"),1)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IFERROR(__xludf.DUMMYFUNCTION("IMPORTRANGE(""https://docs.google.com/spreadsheets/d/1SX6NBoVAgQJ6U1MVXOaj8PK2l7WJ3RER9xtqwdhxkhw/edit?usp=sharing"",""ชัยนาท!J258"")"),1)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IFERROR(__xludf.DUMMYFUNCTION("IMPORTRANGE(""https://docs.google.com/spreadsheets/d/1SX6NBoVAgQJ6U1MVXOaj8PK2l7WJ3RER9xtqwdhxkhw/edit?usp=sharing"",""ชัยนาท!J166"")"),0)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IFERROR(__xludf.DUMMYFUNCTION("IMPORTRANGE(""https://docs.google.com/spreadsheets/d/1SX6NBoVAgQJ6U1MVXOaj8PK2l7WJ3RER9xtqwdhxkhw/edit?usp=sharing"",""ชัยนาท!J166"")"),0)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IFERROR(__xludf.DUMMYFUNCTION("IMPORTRANGE(""https://docs.google.com/spreadsheets/d/1SX6NBoVAgQJ6U1MVXOaj8PK2l7WJ3RER9xtqwdhxkhw/edit?usp=sharing"",""ชัยนาท!J166"")"),0)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IFERROR(__xludf.DUMMYFUNCTION("IMPORTRANGE(""https://docs.google.com/spreadsheets/d/1SX6NBoVAgQJ6U1MVXOaj8PK2l7WJ3RER9xtqwdhxkhw/edit?usp=sharing"",""ชัยนาท!J166"")"),0)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IFERROR(__xludf.DUMMYFUNCTION("IMPORTRANGE(""https://docs.google.com/spreadsheets/d/1SX6NBoVAgQJ6U1MVXOaj8PK2l7WJ3RER9xtqwdhxkhw/edit?usp=sharing"",""ชัยนาท!I263"")"),10)</f>
        <v>10</v>
      </c>
      <c r="J368" s="188">
        <f ca="1">IFERROR(__xludf.DUMMYFUNCTION("IMPORTRANGE(""https://docs.google.com/spreadsheets/d/1SX6NBoVAgQJ6U1MVXOaj8PK2l7WJ3RER9xtqwdhxkhw/edit?usp=sharing"",""ชัยนาท!J263"")"),10)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IFERROR(__xludf.DUMMYFUNCTION("IMPORTRANGE(""https://docs.google.com/spreadsheets/d/1SX6NBoVAgQJ6U1MVXOaj8PK2l7WJ3RER9xtqwdhxkhw/edit?usp=sharing"",""ชัยนาท!I164"")"),0)</f>
        <v>0</v>
      </c>
      <c r="J369" s="204">
        <f ca="1">IFERROR(__xludf.DUMMYFUNCTION("IMPORTRANGE(""https://docs.google.com/spreadsheets/d/1SX6NBoVAgQJ6U1MVXOaj8PK2l7WJ3RER9xtqwdhxkhw/edit?usp=sharing"",""ชัยนาท!J164"")"),0)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IFERROR(__xludf.DUMMYFUNCTION("IMPORTRANGE(""https://docs.google.com/spreadsheets/d/1SX6NBoVAgQJ6U1MVXOaj8PK2l7WJ3RER9xtqwdhxkhw/edit?usp=sharing"",""ชัยนาท!I265"")"),10)</f>
        <v>10</v>
      </c>
      <c r="J370" s="204">
        <f ca="1">IFERROR(__xludf.DUMMYFUNCTION("IMPORTRANGE(""https://docs.google.com/spreadsheets/d/1SX6NBoVAgQJ6U1MVXOaj8PK2l7WJ3RER9xtqwdhxkhw/edit?usp=sharing"",""ชัยนาท!J265"")"),10)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IFERROR(__xludf.DUMMYFUNCTION("IMPORTRANGE(""https://docs.google.com/spreadsheets/d/1SX6NBoVAgQJ6U1MVXOaj8PK2l7WJ3RER9xtqwdhxkhw/edit?usp=sharing"",""ชัยนาท!I164"")"),0)</f>
        <v>0</v>
      </c>
      <c r="J371" s="189">
        <f ca="1">IFERROR(__xludf.DUMMYFUNCTION("IMPORTRANGE(""https://docs.google.com/spreadsheets/d/1SX6NBoVAgQJ6U1MVXOaj8PK2l7WJ3RER9xtqwdhxkhw/edit?usp=sharing"",""ชัยนาท!J164"")"),0)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IFERROR(__xludf.DUMMYFUNCTION("IMPORTRANGE(""https://docs.google.com/spreadsheets/d/1SX6NBoVAgQJ6U1MVXOaj8PK2l7WJ3RER9xtqwdhxkhw/edit?usp=sharing"",""ชัยนาท!I267"")"),10)</f>
        <v>10</v>
      </c>
      <c r="J372" s="189">
        <f ca="1">IFERROR(__xludf.DUMMYFUNCTION("IMPORTRANGE(""https://docs.google.com/spreadsheets/d/1SX6NBoVAgQJ6U1MVXOaj8PK2l7WJ3RER9xtqwdhxkhw/edit?usp=sharing"",""ชัยนาท!J267"")"),10)</f>
        <v>10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IFERROR(__xludf.DUMMYFUNCTION("IMPORTRANGE(""https://docs.google.com/spreadsheets/d/1SX6NBoVAgQJ6U1MVXOaj8PK2l7WJ3RER9xtqwdhxkhw/edit?usp=sharing"",""ชัยนาท!I164"")"),0)</f>
        <v>0</v>
      </c>
      <c r="J373" s="204">
        <f ca="1">IFERROR(__xludf.DUMMYFUNCTION("IMPORTRANGE(""https://docs.google.com/spreadsheets/d/1SX6NBoVAgQJ6U1MVXOaj8PK2l7WJ3RER9xtqwdhxkhw/edit?usp=sharing"",""ชัยนาท!J164"")"),0)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IFERROR(__xludf.DUMMYFUNCTION("IMPORTRANGE(""https://docs.google.com/spreadsheets/d/1SX6NBoVAgQJ6U1MVXOaj8PK2l7WJ3RER9xtqwdhxkhw/edit?usp=sharing"",""ชัยนาท!I164"")"),0)</f>
        <v>0</v>
      </c>
      <c r="J374" s="188">
        <f ca="1">IFERROR(__xludf.DUMMYFUNCTION("IMPORTRANGE(""https://docs.google.com/spreadsheets/d/1SX6NBoVAgQJ6U1MVXOaj8PK2l7WJ3RER9xtqwdhxkhw/edit?usp=sharing"",""ชัยนาท!J164"")"),0)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IFERROR(__xludf.DUMMYFUNCTION("IMPORTRANGE(""https://docs.google.com/spreadsheets/d/1SX6NBoVAgQJ6U1MVXOaj8PK2l7WJ3RER9xtqwdhxkhw/edit?usp=sharing"",""ชัยนาท!I270"")"),10)</f>
        <v>10</v>
      </c>
      <c r="J375" s="188">
        <f ca="1">IFERROR(__xludf.DUMMYFUNCTION("IMPORTRANGE(""https://docs.google.com/spreadsheets/d/1SX6NBoVAgQJ6U1MVXOaj8PK2l7WJ3RER9xtqwdhxkhw/edit?usp=sharing"",""ชัยนาท!J270"")"),0)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IFERROR(__xludf.DUMMYFUNCTION("IMPORTRANGE(""https://docs.google.com/spreadsheets/d/1SX6NBoVAgQJ6U1MVXOaj8PK2l7WJ3RER9xtqwdhxkhw/edit?usp=sharing"",""ชัยนาท!I271"")"),10)</f>
        <v>10</v>
      </c>
      <c r="J376" s="189">
        <f ca="1">IFERROR(__xludf.DUMMYFUNCTION("IMPORTRANGE(""https://docs.google.com/spreadsheets/d/1SX6NBoVAgQJ6U1MVXOaj8PK2l7WJ3RER9xtqwdhxkhw/edit?usp=sharing"",""ชัยนาท!J271"")"),0)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IFERROR(__xludf.DUMMYFUNCTION("IMPORTRANGE(""https://docs.google.com/spreadsheets/d/1SX6NBoVAgQJ6U1MVXOaj8PK2l7WJ3RER9xtqwdhxkhw/edit?usp=sharing"",""ชัยนาท!I272"")"),0)</f>
        <v>0</v>
      </c>
      <c r="J377" s="204">
        <f ca="1">IFERROR(__xludf.DUMMYFUNCTION("IMPORTRANGE(""https://docs.google.com/spreadsheets/d/1SX6NBoVAgQJ6U1MVXOaj8PK2l7WJ3RER9xtqwdhxkhw/edit?usp=sharing"",""ชัยนาท!J272"")"),0)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IFERROR(__xludf.DUMMYFUNCTION("IMPORTRANGE(""https://docs.google.com/spreadsheets/d/1SX6NBoVAgQJ6U1MVXOaj8PK2l7WJ3RER9xtqwdhxkhw/edit?usp=sharing"",""ชัยนาท!J273"")"),0)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IFERROR(__xludf.DUMMYFUNCTION("IMPORTRANGE(""https://docs.google.com/spreadsheets/d/1SX6NBoVAgQJ6U1MVXOaj8PK2l7WJ3RER9xtqwdhxkhw/edit?usp=sharing"",""ชัยนาท!J274"")"),0)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IFERROR(__xludf.DUMMYFUNCTION("IMPORTRANGE(""https://docs.google.com/spreadsheets/d/1SX6NBoVAgQJ6U1MVXOaj8PK2l7WJ3RER9xtqwdhxkhw/edit?usp=sharing"",""ชัยนาท!I275"")"),200)</f>
        <v>200</v>
      </c>
      <c r="J380" s="371">
        <f ca="1">IFERROR(__xludf.DUMMYFUNCTION("IMPORTRANGE(""https://docs.google.com/spreadsheets/d/1SX6NBoVAgQJ6U1MVXOaj8PK2l7WJ3RER9xtqwdhxkhw/edit?usp=sharing"",""ชัยนาท!J275"")"),0)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IFERROR(__xludf.DUMMYFUNCTION("IMPORTRANGE(""https://docs.google.com/spreadsheets/d/1SX6NBoVAgQJ6U1MVXOaj8PK2l7WJ3RER9xtqwdhxkhw/edit?usp=sharing"",""ชัยนาท!L275"")"),207560)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IFERROR(__xludf.DUMMYFUNCTION("IMPORTRANGE(""https://docs.google.com/spreadsheets/d/1SX6NBoVAgQJ6U1MVXOaj8PK2l7WJ3RER9xtqwdhxkhw/edit?usp=sharing"",""ชัยนาท!M275"")"),72090)</f>
        <v>72090</v>
      </c>
      <c r="O380" s="373">
        <f ca="1">+IF(L380&gt;0,N380*100/L380,0)</f>
        <v>34.732125650414339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IFERROR(__xludf.DUMMYFUNCTION("IMPORTRANGE(""https://docs.google.com/spreadsheets/d/1SX6NBoVAgQJ6U1MVXOaj8PK2l7WJ3RER9xtqwdhxkhw/edit?usp=sharing"",""ชัยนาท!I276"")"),20)</f>
        <v>20</v>
      </c>
      <c r="J381" s="371">
        <f ca="1">IFERROR(__xludf.DUMMYFUNCTION("IMPORTRANGE(""https://docs.google.com/spreadsheets/d/1SX6NBoVAgQJ6U1MVXOaj8PK2l7WJ3RER9xtqwdhxkhw/edit?usp=sharing"",""ชัยนาท!J276"")"),20)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IFERROR(__xludf.DUMMYFUNCTION("IMPORTRANGE(""https://docs.google.com/spreadsheets/d/1SX6NBoVAgQJ6U1MVXOaj8PK2l7WJ3RER9xtqwdhxkhw/edit?usp=sharing"",""ชัยนาท!L277"")"),0)</f>
        <v>0</v>
      </c>
      <c r="M382" s="164"/>
      <c r="N382" s="164">
        <f ca="1">IFERROR(__xludf.DUMMYFUNCTION("IMPORTRANGE(""https://docs.google.com/spreadsheets/d/1SX6NBoVAgQJ6U1MVXOaj8PK2l7WJ3RER9xtqwdhxkhw/edit?usp=sharing"",""ชัยนาท!M277"")"),0)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IFERROR(__xludf.DUMMYFUNCTION("IMPORTRANGE(""https://docs.google.com/spreadsheets/d/1SX6NBoVAgQJ6U1MVXOaj8PK2l7WJ3RER9xtqwdhxkhw/edit?usp=sharing"",""ชัยนาท!L278"")"),207560)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IFERROR(__xludf.DUMMYFUNCTION("IMPORTRANGE(""https://docs.google.com/spreadsheets/d/1SX6NBoVAgQJ6U1MVXOaj8PK2l7WJ3RER9xtqwdhxkhw/edit?usp=sharing"",""ชัยนาท!M278"")"),72090)</f>
        <v>72090</v>
      </c>
      <c r="O383" s="165">
        <f t="shared" ca="1" si="109"/>
        <v>34.732125650414339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IFERROR(__xludf.DUMMYFUNCTION("IMPORTRANGE(""https://docs.google.com/spreadsheets/d/1SX6NBoVAgQJ6U1MVXOaj8PK2l7WJ3RER9xtqwdhxkhw/edit?usp=sharing"",""ชัยนาท!L279"")"),0)</f>
        <v>0</v>
      </c>
      <c r="M384" s="169"/>
      <c r="N384" s="169">
        <f ca="1">IFERROR(__xludf.DUMMYFUNCTION("IMPORTRANGE(""https://docs.google.com/spreadsheets/d/1SX6NBoVAgQJ6U1MVXOaj8PK2l7WJ3RER9xtqwdhxkhw/edit?usp=sharing"",""ชัยนาท!M279"")"),0)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IFERROR(__xludf.DUMMYFUNCTION("IMPORTRANGE(""https://docs.google.com/spreadsheets/d/1SX6NBoVAgQJ6U1MVXOaj8PK2l7WJ3RER9xtqwdhxkhw/edit?usp=sharing"",""ชัยนาท!L280"")"),207560)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IFERROR(__xludf.DUMMYFUNCTION("IMPORTRANGE(""https://docs.google.com/spreadsheets/d/1SX6NBoVAgQJ6U1MVXOaj8PK2l7WJ3RER9xtqwdhxkhw/edit?usp=sharing"",""ชัยนาท!M280"")"),72090)</f>
        <v>72090</v>
      </c>
      <c r="O385" s="169">
        <f t="shared" ca="1" si="109"/>
        <v>34.732125650414339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IFERROR(__xludf.DUMMYFUNCTION("IMPORTRANGE(""https://docs.google.com/spreadsheets/d/1SX6NBoVAgQJ6U1MVXOaj8PK2l7WJ3RER9xtqwdhxkhw/edit?usp=sharing"",""ชัยนาท!M281"")"),54085)</f>
        <v>54085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IFERROR(__xludf.DUMMYFUNCTION("IMPORTRANGE(""https://docs.google.com/spreadsheets/d/1SX6NBoVAgQJ6U1MVXOaj8PK2l7WJ3RER9xtqwdhxkhw/edit?usp=sharing"",""ชัยนาท!M282"")"),0)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IFERROR(__xludf.DUMMYFUNCTION("IMPORTRANGE(""https://docs.google.com/spreadsheets/d/1SX6NBoVAgQJ6U1MVXOaj8PK2l7WJ3RER9xtqwdhxkhw/edit?usp=sharing"",""ชัยนาท!M283"")"),0)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IFERROR(__xludf.DUMMYFUNCTION("IMPORTRANGE(""https://docs.google.com/spreadsheets/d/1SX6NBoVAgQJ6U1MVXOaj8PK2l7WJ3RER9xtqwdhxkhw/edit?usp=sharing"",""ชัยนาท!M284"")"),18005)</f>
        <v>18005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IFERROR(__xludf.DUMMYFUNCTION("IMPORTRANGE(""https://docs.google.com/spreadsheets/d/1SX6NBoVAgQJ6U1MVXOaj8PK2l7WJ3RER9xtqwdhxkhw/edit?usp=sharing"",""ชัยนาท!J286"")"),0)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IFERROR(__xludf.DUMMYFUNCTION("IMPORTRANGE(""https://docs.google.com/spreadsheets/d/1SX6NBoVAgQJ6U1MVXOaj8PK2l7WJ3RER9xtqwdhxkhw/edit?usp=sharing"",""ชัยนาท!J287"")"),1)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IFERROR(__xludf.DUMMYFUNCTION("IMPORTRANGE(""https://docs.google.com/spreadsheets/d/1SX6NBoVAgQJ6U1MVXOaj8PK2l7WJ3RER9xtqwdhxkhw/edit?usp=sharing"",""ชัยนาท!J288"")"),1)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IFERROR(__xludf.DUMMYFUNCTION("IMPORTRANGE(""https://docs.google.com/spreadsheets/d/1SX6NBoVAgQJ6U1MVXOaj8PK2l7WJ3RER9xtqwdhxkhw/edit?usp=sharing"",""ชัยนาท!J289"")"),1)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IFERROR(__xludf.DUMMYFUNCTION("IMPORTRANGE(""https://docs.google.com/spreadsheets/d/1SX6NBoVAgQJ6U1MVXOaj8PK2l7WJ3RER9xtqwdhxkhw/edit?usp=sharing"",""ชัยนาท!I291"")"),20)</f>
        <v>20</v>
      </c>
      <c r="J396" s="198">
        <f ca="1">IFERROR(__xludf.DUMMYFUNCTION("IMPORTRANGE(""https://docs.google.com/spreadsheets/d/1SX6NBoVAgQJ6U1MVXOaj8PK2l7WJ3RER9xtqwdhxkhw/edit?usp=sharing"",""ชัยนาท!J291"")"),20)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IFERROR(__xludf.DUMMYFUNCTION("IMPORTRANGE(""https://docs.google.com/spreadsheets/d/1SX6NBoVAgQJ6U1MVXOaj8PK2l7WJ3RER9xtqwdhxkhw/edit?usp=sharing"",""ชัยนาท!I292"")"),200)</f>
        <v>200</v>
      </c>
      <c r="J397" s="198">
        <f ca="1">IFERROR(__xludf.DUMMYFUNCTION("IMPORTRANGE(""https://docs.google.com/spreadsheets/d/1SX6NBoVAgQJ6U1MVXOaj8PK2l7WJ3RER9xtqwdhxkhw/edit?usp=sharing"",""ชัยนาท!J292"")"),0)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IFERROR(__xludf.DUMMYFUNCTION("IMPORTRANGE(""https://docs.google.com/spreadsheets/d/1SX6NBoVAgQJ6U1MVXOaj8PK2l7WJ3RER9xtqwdhxkhw/edit?usp=sharing"",""ชัยนาท!I293"")"),20)</f>
        <v>20</v>
      </c>
      <c r="J398" s="198">
        <f ca="1">IFERROR(__xludf.DUMMYFUNCTION("IMPORTRANGE(""https://docs.google.com/spreadsheets/d/1SX6NBoVAgQJ6U1MVXOaj8PK2l7WJ3RER9xtqwdhxkhw/edit?usp=sharing"",""ชัยนาท!J293"")"),0)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IFERROR(__xludf.DUMMYFUNCTION("IMPORTRANGE(""https://docs.google.com/spreadsheets/d/1SX6NBoVAgQJ6U1MVXOaj8PK2l7WJ3RER9xtqwdhxkhw/edit?usp=sharing"",""ชัยนาท!J294"")"),0)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IFERROR(__xludf.DUMMYFUNCTION("IMPORTRANGE(""https://docs.google.com/spreadsheets/d/1SX6NBoVAgQJ6U1MVXOaj8PK2l7WJ3RER9xtqwdhxkhw/edit?usp=sharing"",""ชัยนาท!J295"")"),0)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IFERROR(__xludf.DUMMYFUNCTION("IMPORTRANGE(""https://docs.google.com/spreadsheets/d/1SX6NBoVAgQJ6U1MVXOaj8PK2l7WJ3RER9xtqwdhxkhw/edit?usp=sharing"",""ชัยนาท!I296"")"),195)</f>
        <v>195</v>
      </c>
      <c r="J401" s="371">
        <f ca="1">IFERROR(__xludf.DUMMYFUNCTION("IMPORTRANGE(""https://docs.google.com/spreadsheets/d/1SX6NBoVAgQJ6U1MVXOaj8PK2l7WJ3RER9xtqwdhxkhw/edit?usp=sharing"",""ชัยนาท!J296"")"),195)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IFERROR(__xludf.DUMMYFUNCTION("IMPORTRANGE(""https://docs.google.com/spreadsheets/d/1SX6NBoVAgQJ6U1MVXOaj8PK2l7WJ3RER9xtqwdhxkhw/edit?usp=sharing"",""ชัยนาท!L296"")"),226530)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IFERROR(__xludf.DUMMYFUNCTION("IMPORTRANGE(""https://docs.google.com/spreadsheets/d/1SX6NBoVAgQJ6U1MVXOaj8PK2l7WJ3RER9xtqwdhxkhw/edit?usp=sharing"",""ชัยนาท!M296"")"),208115)</f>
        <v>208115</v>
      </c>
      <c r="O401" s="373">
        <f ca="1">+IF(L401&gt;0,N401*100/L401,0)</f>
        <v>91.870833885136634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IFERROR(__xludf.DUMMYFUNCTION("IMPORTRANGE(""https://docs.google.com/spreadsheets/d/1SX6NBoVAgQJ6U1MVXOaj8PK2l7WJ3RER9xtqwdhxkhw/edit?usp=sharing"",""ชัยนาท!I297"")"),65)</f>
        <v>65</v>
      </c>
      <c r="J402" s="371">
        <f ca="1">IFERROR(__xludf.DUMMYFUNCTION("IMPORTRANGE(""https://docs.google.com/spreadsheets/d/1SX6NBoVAgQJ6U1MVXOaj8PK2l7WJ3RER9xtqwdhxkhw/edit?usp=sharing"",""ชัยนาท!J297"")"),65)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IFERROR(__xludf.DUMMYFUNCTION("IMPORTRANGE(""https://docs.google.com/spreadsheets/d/1SX6NBoVAgQJ6U1MVXOaj8PK2l7WJ3RER9xtqwdhxkhw/edit?usp=sharing"",""ชัยนาท!L298"")"),0)</f>
        <v>0</v>
      </c>
      <c r="M403" s="164"/>
      <c r="N403" s="169">
        <f ca="1">IFERROR(__xludf.DUMMYFUNCTION("IMPORTRANGE(""https://docs.google.com/spreadsheets/d/1SX6NBoVAgQJ6U1MVXOaj8PK2l7WJ3RER9xtqwdhxkhw/edit?usp=sharing"",""ชัยนาท!M298"")"),0)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IFERROR(__xludf.DUMMYFUNCTION("IMPORTRANGE(""https://docs.google.com/spreadsheets/d/1SX6NBoVAgQJ6U1MVXOaj8PK2l7WJ3RER9xtqwdhxkhw/edit?usp=sharing"",""ชัยนาท!L299"")"),226530)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IFERROR(__xludf.DUMMYFUNCTION("IMPORTRANGE(""https://docs.google.com/spreadsheets/d/1SX6NBoVAgQJ6U1MVXOaj8PK2l7WJ3RER9xtqwdhxkhw/edit?usp=sharing"",""ชัยนาท!M299"")"),208115)</f>
        <v>208115</v>
      </c>
      <c r="O404" s="169">
        <f t="shared" ca="1" si="112"/>
        <v>91.870833885136634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IFERROR(__xludf.DUMMYFUNCTION("IMPORTRANGE(""https://docs.google.com/spreadsheets/d/1SX6NBoVAgQJ6U1MVXOaj8PK2l7WJ3RER9xtqwdhxkhw/edit?usp=sharing"",""ชัยนาท!L300"")"),0)</f>
        <v>0</v>
      </c>
      <c r="M405" s="169"/>
      <c r="N405" s="169">
        <f ca="1">IFERROR(__xludf.DUMMYFUNCTION("IMPORTRANGE(""https://docs.google.com/spreadsheets/d/1SX6NBoVAgQJ6U1MVXOaj8PK2l7WJ3RER9xtqwdhxkhw/edit?usp=sharing"",""ชัยนาท!M300"")"),0)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IFERROR(__xludf.DUMMYFUNCTION("IMPORTRANGE(""https://docs.google.com/spreadsheets/d/1SX6NBoVAgQJ6U1MVXOaj8PK2l7WJ3RER9xtqwdhxkhw/edit?usp=sharing"",""ชัยนาท!L301"")"),226530)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IFERROR(__xludf.DUMMYFUNCTION("IMPORTRANGE(""https://docs.google.com/spreadsheets/d/1SX6NBoVAgQJ6U1MVXOaj8PK2l7WJ3RER9xtqwdhxkhw/edit?usp=sharing"",""ชัยนาท!M301"")"),208115)</f>
        <v>208115</v>
      </c>
      <c r="O406" s="169">
        <f t="shared" ca="1" si="112"/>
        <v>91.870833885136634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IFERROR(__xludf.DUMMYFUNCTION("IMPORTRANGE(""https://docs.google.com/spreadsheets/d/1SX6NBoVAgQJ6U1MVXOaj8PK2l7WJ3RER9xtqwdhxkhw/edit?usp=sharing"",""ชัยนาท!M302"")"),129150)</f>
        <v>129150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IFERROR(__xludf.DUMMYFUNCTION("IMPORTRANGE(""https://docs.google.com/spreadsheets/d/1SX6NBoVAgQJ6U1MVXOaj8PK2l7WJ3RER9xtqwdhxkhw/edit?usp=sharing"",""ชัยนาท!M303"")"),72500)</f>
        <v>72500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IFERROR(__xludf.DUMMYFUNCTION("IMPORTRANGE(""https://docs.google.com/spreadsheets/d/1SX6NBoVAgQJ6U1MVXOaj8PK2l7WJ3RER9xtqwdhxkhw/edit?usp=sharing"",""ชัยนาท!M304"")"),0)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IFERROR(__xludf.DUMMYFUNCTION("IMPORTRANGE(""https://docs.google.com/spreadsheets/d/1SX6NBoVAgQJ6U1MVXOaj8PK2l7WJ3RER9xtqwdhxkhw/edit?usp=sharing"",""ชัยนาท!M305"")"),6465)</f>
        <v>6465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IFERROR(__xludf.DUMMYFUNCTION("IMPORTRANGE(""https://docs.google.com/spreadsheets/d/1SX6NBoVAgQJ6U1MVXOaj8PK2l7WJ3RER9xtqwdhxkhw/edit?usp=sharing"",""ชัยนาท!J307"")"),0)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IFERROR(__xludf.DUMMYFUNCTION("IMPORTRANGE(""https://docs.google.com/spreadsheets/d/1SX6NBoVAgQJ6U1MVXOaj8PK2l7WJ3RER9xtqwdhxkhw/edit?usp=sharing"",""ชัยนาท!J308"")"),1)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IFERROR(__xludf.DUMMYFUNCTION("IMPORTRANGE(""https://docs.google.com/spreadsheets/d/1SX6NBoVAgQJ6U1MVXOaj8PK2l7WJ3RER9xtqwdhxkhw/edit?usp=sharing"",""ชัยนาท!J309"")"),1)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IFERROR(__xludf.DUMMYFUNCTION("IMPORTRANGE(""https://docs.google.com/spreadsheets/d/1SX6NBoVAgQJ6U1MVXOaj8PK2l7WJ3RER9xtqwdhxkhw/edit?usp=sharing"",""ชัยนาท!J310"")"),1)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IFERROR(__xludf.DUMMYFUNCTION("IMPORTRANGE(""https://docs.google.com/spreadsheets/d/1SX6NBoVAgQJ6U1MVXOaj8PK2l7WJ3RER9xtqwdhxkhw/edit?usp=sharing"",""ชัยนาท!I311"")"),65)</f>
        <v>65</v>
      </c>
      <c r="J416" s="201">
        <f ca="1">IFERROR(__xludf.DUMMYFUNCTION("IMPORTRANGE(""https://docs.google.com/spreadsheets/d/1SX6NBoVAgQJ6U1MVXOaj8PK2l7WJ3RER9xtqwdhxkhw/edit?usp=sharing"",""ชัยนาท!J311"")"),65)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IFERROR(__xludf.DUMMYFUNCTION("IMPORTRANGE(""https://docs.google.com/spreadsheets/d/1SX6NBoVAgQJ6U1MVXOaj8PK2l7WJ3RER9xtqwdhxkhw/edit?usp=sharing"",""ชัยนาท!I312"")"),30)</f>
        <v>30</v>
      </c>
      <c r="J417" s="392">
        <f ca="1">IFERROR(__xludf.DUMMYFUNCTION("IMPORTRANGE(""https://docs.google.com/spreadsheets/d/1SX6NBoVAgQJ6U1MVXOaj8PK2l7WJ3RER9xtqwdhxkhw/edit?usp=sharing"",""ชัยนาท!J312"")"),30)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IFERROR(__xludf.DUMMYFUNCTION("IMPORTRANGE(""https://docs.google.com/spreadsheets/d/1SX6NBoVAgQJ6U1MVXOaj8PK2l7WJ3RER9xtqwdhxkhw/edit?usp=sharing"",""ชัยนาท!I313"")"),90)</f>
        <v>90</v>
      </c>
      <c r="J418" s="393">
        <f ca="1">IFERROR(__xludf.DUMMYFUNCTION("IMPORTRANGE(""https://docs.google.com/spreadsheets/d/1SX6NBoVAgQJ6U1MVXOaj8PK2l7WJ3RER9xtqwdhxkhw/edit?usp=sharing"",""ชัยนาท!J313"")"),90)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IFERROR(__xludf.DUMMYFUNCTION("IMPORTRANGE(""https://docs.google.com/spreadsheets/d/1SX6NBoVAgQJ6U1MVXOaj8PK2l7WJ3RER9xtqwdhxkhw/edit?usp=sharing"",""ชัยนาท!I314"")"),30)</f>
        <v>30</v>
      </c>
      <c r="J419" s="394">
        <f ca="1">IFERROR(__xludf.DUMMYFUNCTION("IMPORTRANGE(""https://docs.google.com/spreadsheets/d/1SX6NBoVAgQJ6U1MVXOaj8PK2l7WJ3RER9xtqwdhxkhw/edit?usp=sharing"",""ชัยนาท!J314"")"),30)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IFERROR(__xludf.DUMMYFUNCTION("IMPORTRANGE(""https://docs.google.com/spreadsheets/d/1SX6NBoVAgQJ6U1MVXOaj8PK2l7WJ3RER9xtqwdhxkhw/edit?usp=sharing"",""ชัยนาท!I315"")"),30)</f>
        <v>30</v>
      </c>
      <c r="J420" s="394">
        <f ca="1">IFERROR(__xludf.DUMMYFUNCTION("IMPORTRANGE(""https://docs.google.com/spreadsheets/d/1SX6NBoVAgQJ6U1MVXOaj8PK2l7WJ3RER9xtqwdhxkhw/edit?usp=sharing"",""ชัยนาท!J315"")"),30)</f>
        <v>30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IFERROR(__xludf.DUMMYFUNCTION("IMPORTRANGE(""https://docs.google.com/spreadsheets/d/1SX6NBoVAgQJ6U1MVXOaj8PK2l7WJ3RER9xtqwdhxkhw/edit?usp=sharing"",""ชัยนาท!I316"")"),25)</f>
        <v>25</v>
      </c>
      <c r="J421" s="392">
        <f ca="1">IFERROR(__xludf.DUMMYFUNCTION("IMPORTRANGE(""https://docs.google.com/spreadsheets/d/1SX6NBoVAgQJ6U1MVXOaj8PK2l7WJ3RER9xtqwdhxkhw/edit?usp=sharing"",""ชัยนาท!J316"")"),25)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IFERROR(__xludf.DUMMYFUNCTION("IMPORTRANGE(""https://docs.google.com/spreadsheets/d/1SX6NBoVAgQJ6U1MVXOaj8PK2l7WJ3RER9xtqwdhxkhw/edit?usp=sharing"",""ชัยนาท!I317"")"),75)</f>
        <v>75</v>
      </c>
      <c r="J422" s="393">
        <f ca="1">IFERROR(__xludf.DUMMYFUNCTION("IMPORTRANGE(""https://docs.google.com/spreadsheets/d/1SX6NBoVAgQJ6U1MVXOaj8PK2l7WJ3RER9xtqwdhxkhw/edit?usp=sharing"",""ชัยนาท!J317"")"),75)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IFERROR(__xludf.DUMMYFUNCTION("IMPORTRANGE(""https://docs.google.com/spreadsheets/d/1SX6NBoVAgQJ6U1MVXOaj8PK2l7WJ3RER9xtqwdhxkhw/edit?usp=sharing"",""ชัยนาท!I318"")"),25)</f>
        <v>25</v>
      </c>
      <c r="J423" s="394">
        <f ca="1">IFERROR(__xludf.DUMMYFUNCTION("IMPORTRANGE(""https://docs.google.com/spreadsheets/d/1SX6NBoVAgQJ6U1MVXOaj8PK2l7WJ3RER9xtqwdhxkhw/edit?usp=sharing"",""ชัยนาท!J318"")"),25)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IFERROR(__xludf.DUMMYFUNCTION("IMPORTRANGE(""https://docs.google.com/spreadsheets/d/1SX6NBoVAgQJ6U1MVXOaj8PK2l7WJ3RER9xtqwdhxkhw/edit?usp=sharing"",""ชัยนาท!I319"")"),25)</f>
        <v>25</v>
      </c>
      <c r="J424" s="394">
        <f ca="1">IFERROR(__xludf.DUMMYFUNCTION("IMPORTRANGE(""https://docs.google.com/spreadsheets/d/1SX6NBoVAgQJ6U1MVXOaj8PK2l7WJ3RER9xtqwdhxkhw/edit?usp=sharing"",""ชัยนาท!J319"")"),25)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IFERROR(__xludf.DUMMYFUNCTION("IMPORTRANGE(""https://docs.google.com/spreadsheets/d/1SX6NBoVAgQJ6U1MVXOaj8PK2l7WJ3RER9xtqwdhxkhw/edit?usp=sharing"",""ชัยนาท!I320"")"),25)</f>
        <v>25</v>
      </c>
      <c r="J425" s="394">
        <f ca="1">IFERROR(__xludf.DUMMYFUNCTION("IMPORTRANGE(""https://docs.google.com/spreadsheets/d/1SX6NBoVAgQJ6U1MVXOaj8PK2l7WJ3RER9xtqwdhxkhw/edit?usp=sharing"",""ชัยนาท!J320"")"),25)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IFERROR(__xludf.DUMMYFUNCTION("IMPORTRANGE(""https://docs.google.com/spreadsheets/d/1SX6NBoVAgQJ6U1MVXOaj8PK2l7WJ3RER9xtqwdhxkhw/edit?usp=sharing"",""ชัยนาท!I321"")"),10)</f>
        <v>10</v>
      </c>
      <c r="J426" s="392">
        <f ca="1">IFERROR(__xludf.DUMMYFUNCTION("IMPORTRANGE(""https://docs.google.com/spreadsheets/d/1SX6NBoVAgQJ6U1MVXOaj8PK2l7WJ3RER9xtqwdhxkhw/edit?usp=sharing"",""ชัยนาท!J321"")"),10)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IFERROR(__xludf.DUMMYFUNCTION("IMPORTRANGE(""https://docs.google.com/spreadsheets/d/1SX6NBoVAgQJ6U1MVXOaj8PK2l7WJ3RER9xtqwdhxkhw/edit?usp=sharing"",""ชัยนาท!I322"")"),30)</f>
        <v>30</v>
      </c>
      <c r="J427" s="393">
        <f ca="1">IFERROR(__xludf.DUMMYFUNCTION("IMPORTRANGE(""https://docs.google.com/spreadsheets/d/1SX6NBoVAgQJ6U1MVXOaj8PK2l7WJ3RER9xtqwdhxkhw/edit?usp=sharing"",""ชัยนาท!J322"")"),30)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IFERROR(__xludf.DUMMYFUNCTION("IMPORTRANGE(""https://docs.google.com/spreadsheets/d/1SX6NBoVAgQJ6U1MVXOaj8PK2l7WJ3RER9xtqwdhxkhw/edit?usp=sharing"",""ชัยนาท!I323"")"),10)</f>
        <v>10</v>
      </c>
      <c r="J428" s="394">
        <f ca="1">IFERROR(__xludf.DUMMYFUNCTION("IMPORTRANGE(""https://docs.google.com/spreadsheets/d/1SX6NBoVAgQJ6U1MVXOaj8PK2l7WJ3RER9xtqwdhxkhw/edit?usp=sharing"",""ชัยนาท!J323"")"),10)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IFERROR(__xludf.DUMMYFUNCTION("IMPORTRANGE(""https://docs.google.com/spreadsheets/d/1SX6NBoVAgQJ6U1MVXOaj8PK2l7WJ3RER9xtqwdhxkhw/edit?usp=sharing"",""ชัยนาท!I324"")"),10)</f>
        <v>10</v>
      </c>
      <c r="J429" s="394">
        <f ca="1">IFERROR(__xludf.DUMMYFUNCTION("IMPORTRANGE(""https://docs.google.com/spreadsheets/d/1SX6NBoVAgQJ6U1MVXOaj8PK2l7WJ3RER9xtqwdhxkhw/edit?usp=sharing"",""ชัยนาท!J324"")"),10)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IFERROR(__xludf.DUMMYFUNCTION("IMPORTRANGE(""https://docs.google.com/spreadsheets/d/1SX6NBoVAgQJ6U1MVXOaj8PK2l7WJ3RER9xtqwdhxkhw/edit?usp=sharing"",""ชัยนาท!I325"")"),55)</f>
        <v>55</v>
      </c>
      <c r="J430" s="392">
        <f ca="1">IFERROR(__xludf.DUMMYFUNCTION("IMPORTRANGE(""https://docs.google.com/spreadsheets/d/1SX6NBoVAgQJ6U1MVXOaj8PK2l7WJ3RER9xtqwdhxkhw/edit?usp=sharing"",""ชัยนาท!J325"")"),55)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IFERROR(__xludf.DUMMYFUNCTION("IMPORTRANGE(""https://docs.google.com/spreadsheets/d/1SX6NBoVAgQJ6U1MVXOaj8PK2l7WJ3RER9xtqwdhxkhw/edit?usp=sharing"",""ชัยนาท!I326"")"),30)</f>
        <v>30</v>
      </c>
      <c r="J431" s="394">
        <f ca="1">IFERROR(__xludf.DUMMYFUNCTION("IMPORTRANGE(""https://docs.google.com/spreadsheets/d/1SX6NBoVAgQJ6U1MVXOaj8PK2l7WJ3RER9xtqwdhxkhw/edit?usp=sharing"",""ชัยนาท!J326"")"),30)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IFERROR(__xludf.DUMMYFUNCTION("IMPORTRANGE(""https://docs.google.com/spreadsheets/d/1SX6NBoVAgQJ6U1MVXOaj8PK2l7WJ3RER9xtqwdhxkhw/edit?usp=sharing"",""ชัยนาท!I327"")"),25)</f>
        <v>25</v>
      </c>
      <c r="J432" s="394">
        <f ca="1">IFERROR(__xludf.DUMMYFUNCTION("IMPORTRANGE(""https://docs.google.com/spreadsheets/d/1SX6NBoVAgQJ6U1MVXOaj8PK2l7WJ3RER9xtqwdhxkhw/edit?usp=sharing"",""ชัยนาท!J327"")"),25)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IFERROR(__xludf.DUMMYFUNCTION("IMPORTRANGE(""https://docs.google.com/spreadsheets/d/1SX6NBoVAgQJ6U1MVXOaj8PK2l7WJ3RER9xtqwdhxkhw/edit?usp=sharing"",""ชัยนาท!J328"")"),0)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IFERROR(__xludf.DUMMYFUNCTION("IMPORTRANGE(""https://docs.google.com/spreadsheets/d/1SX6NBoVAgQJ6U1MVXOaj8PK2l7WJ3RER9xtqwdhxkhw/edit?usp=sharing"",""ชัยนาท!J329"")"),0)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IFERROR(__xludf.DUMMYFUNCTION("IMPORTRANGE(""https://docs.google.com/spreadsheets/d/1SX6NBoVAgQJ6U1MVXOaj8PK2l7WJ3RER9xtqwdhxkhw/edit?usp=sharing"",""ชัยนาท!I330"")"),15)</f>
        <v>15</v>
      </c>
      <c r="J435" s="410">
        <f ca="1">IFERROR(__xludf.DUMMYFUNCTION("IMPORTRANGE(""https://docs.google.com/spreadsheets/d/1SX6NBoVAgQJ6U1MVXOaj8PK2l7WJ3RER9xtqwdhxkhw/edit?usp=sharing"",""ชัยนาท!J330"")"),15)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IFERROR(__xludf.DUMMYFUNCTION("IMPORTRANGE(""https://docs.google.com/spreadsheets/d/1SX6NBoVAgQJ6U1MVXOaj8PK2l7WJ3RER9xtqwdhxkhw/edit?usp=sharing"",""ชัยนาท!L330"")"),88000)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IFERROR(__xludf.DUMMYFUNCTION("IMPORTRANGE(""https://docs.google.com/spreadsheets/d/1SX6NBoVAgQJ6U1MVXOaj8PK2l7WJ3RER9xtqwdhxkhw/edit?usp=sharing"",""ชัยนาท!M330"")"),61740)</f>
        <v>61740</v>
      </c>
      <c r="O435" s="412">
        <f t="shared" ref="O435:O439" ca="1" si="114">+IF(L435&gt;0,N435*100/L435,0)</f>
        <v>70.159090909090907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IFERROR(__xludf.DUMMYFUNCTION("IMPORTRANGE(""https://docs.google.com/spreadsheets/d/1SX6NBoVAgQJ6U1MVXOaj8PK2l7WJ3RER9xtqwdhxkhw/edit?usp=sharing"",""ชัยนาท!L331"")"),0)</f>
        <v>0</v>
      </c>
      <c r="M436" s="164"/>
      <c r="N436" s="169">
        <f ca="1">IFERROR(__xludf.DUMMYFUNCTION("IMPORTRANGE(""https://docs.google.com/spreadsheets/d/1SX6NBoVAgQJ6U1MVXOaj8PK2l7WJ3RER9xtqwdhxkhw/edit?usp=sharing"",""ชัยนาท!M331"")"),0)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IFERROR(__xludf.DUMMYFUNCTION("IMPORTRANGE(""https://docs.google.com/spreadsheets/d/1SX6NBoVAgQJ6U1MVXOaj8PK2l7WJ3RER9xtqwdhxkhw/edit?usp=sharing"",""ชัยนาท!L332"")"),88000)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IFERROR(__xludf.DUMMYFUNCTION("IMPORTRANGE(""https://docs.google.com/spreadsheets/d/1SX6NBoVAgQJ6U1MVXOaj8PK2l7WJ3RER9xtqwdhxkhw/edit?usp=sharing"",""ชัยนาท!M332"")"),61740)</f>
        <v>61740</v>
      </c>
      <c r="O437" s="169">
        <f t="shared" ca="1" si="114"/>
        <v>70.159090909090907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IFERROR(__xludf.DUMMYFUNCTION("IMPORTRANGE(""https://docs.google.com/spreadsheets/d/1SX6NBoVAgQJ6U1MVXOaj8PK2l7WJ3RER9xtqwdhxkhw/edit?usp=sharing"",""ชัยนาท!L333"")"),0)</f>
        <v>0</v>
      </c>
      <c r="M438" s="169"/>
      <c r="N438" s="169">
        <f ca="1">IFERROR(__xludf.DUMMYFUNCTION("IMPORTRANGE(""https://docs.google.com/spreadsheets/d/1SX6NBoVAgQJ6U1MVXOaj8PK2l7WJ3RER9xtqwdhxkhw/edit?usp=sharing"",""ชัยนาท!M333"")"),0)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IFERROR(__xludf.DUMMYFUNCTION("IMPORTRANGE(""https://docs.google.com/spreadsheets/d/1SX6NBoVAgQJ6U1MVXOaj8PK2l7WJ3RER9xtqwdhxkhw/edit?usp=sharing"",""ชัยนาท!L334"")"),88000)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IFERROR(__xludf.DUMMYFUNCTION("IMPORTRANGE(""https://docs.google.com/spreadsheets/d/1SX6NBoVAgQJ6U1MVXOaj8PK2l7WJ3RER9xtqwdhxkhw/edit?usp=sharing"",""ชัยนาท!M334"")"),61740)</f>
        <v>61740</v>
      </c>
      <c r="O439" s="169">
        <f t="shared" ca="1" si="114"/>
        <v>70.159090909090907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IFERROR(__xludf.DUMMYFUNCTION("IMPORTRANGE(""https://docs.google.com/spreadsheets/d/1SX6NBoVAgQJ6U1MVXOaj8PK2l7WJ3RER9xtqwdhxkhw/edit?usp=sharing"",""ชัยนาท!M335"")"),32200)</f>
        <v>32200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IFERROR(__xludf.DUMMYFUNCTION("IMPORTRANGE(""https://docs.google.com/spreadsheets/d/1SX6NBoVAgQJ6U1MVXOaj8PK2l7WJ3RER9xtqwdhxkhw/edit?usp=sharing"",""ชัยนาท!M336"")"),0)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IFERROR(__xludf.DUMMYFUNCTION("IMPORTRANGE(""https://docs.google.com/spreadsheets/d/1SX6NBoVAgQJ6U1MVXOaj8PK2l7WJ3RER9xtqwdhxkhw/edit?usp=sharing"",""ชัยนาท!M337"")"),0)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IFERROR(__xludf.DUMMYFUNCTION("IMPORTRANGE(""https://docs.google.com/spreadsheets/d/1SX6NBoVAgQJ6U1MVXOaj8PK2l7WJ3RER9xtqwdhxkhw/edit?usp=sharing"",""ชัยนาท!M338"")"),29540)</f>
        <v>29540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IFERROR(__xludf.DUMMYFUNCTION("IMPORTRANGE(""https://docs.google.com/spreadsheets/d/1SX6NBoVAgQJ6U1MVXOaj8PK2l7WJ3RER9xtqwdhxkhw/edit?usp=sharing"",""ชัยนาท!J340"")"),0)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IFERROR(__xludf.DUMMYFUNCTION("IMPORTRANGE(""https://docs.google.com/spreadsheets/d/1SX6NBoVAgQJ6U1MVXOaj8PK2l7WJ3RER9xtqwdhxkhw/edit?usp=sharing"",""ชัยนาท!J341"")"),1)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IFERROR(__xludf.DUMMYFUNCTION("IMPORTRANGE(""https://docs.google.com/spreadsheets/d/1SX6NBoVAgQJ6U1MVXOaj8PK2l7WJ3RER9xtqwdhxkhw/edit?usp=sharing"",""ชัยนาท!J342"")"),1)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IFERROR(__xludf.DUMMYFUNCTION("IMPORTRANGE(""https://docs.google.com/spreadsheets/d/1SX6NBoVAgQJ6U1MVXOaj8PK2l7WJ3RER9xtqwdhxkhw/edit?usp=sharing"",""ชัยนาท!J343"")"),1)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IFERROR(__xludf.DUMMYFUNCTION("IMPORTRANGE(""https://docs.google.com/spreadsheets/d/1SX6NBoVAgQJ6U1MVXOaj8PK2l7WJ3RER9xtqwdhxkhw/edit?usp=sharing"",""ชัยนาท!I344"")"),15)</f>
        <v>15</v>
      </c>
      <c r="J449" s="201">
        <f ca="1">IFERROR(__xludf.DUMMYFUNCTION("IMPORTRANGE(""https://docs.google.com/spreadsheets/d/1SX6NBoVAgQJ6U1MVXOaj8PK2l7WJ3RER9xtqwdhxkhw/edit?usp=sharing"",""ชัยนาท!J344"")"),15)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IFERROR(__xludf.DUMMYFUNCTION("IMPORTRANGE(""https://docs.google.com/spreadsheets/d/1SX6NBoVAgQJ6U1MVXOaj8PK2l7WJ3RER9xtqwdhxkhw/edit?usp=sharing"",""ชัยนาท!I345"")"),15)</f>
        <v>15</v>
      </c>
      <c r="J450" s="189">
        <f ca="1">IFERROR(__xludf.DUMMYFUNCTION("IMPORTRANGE(""https://docs.google.com/spreadsheets/d/1SX6NBoVAgQJ6U1MVXOaj8PK2l7WJ3RER9xtqwdhxkhw/edit?usp=sharing"",""ชัยนาท!J345"")"),15)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IFERROR(__xludf.DUMMYFUNCTION("IMPORTRANGE(""https://docs.google.com/spreadsheets/d/1SX6NBoVAgQJ6U1MVXOaj8PK2l7WJ3RER9xtqwdhxkhw/edit?usp=sharing"",""ชัยนาท!I346"")"),0)</f>
        <v>0</v>
      </c>
      <c r="J451" s="188">
        <f ca="1">IFERROR(__xludf.DUMMYFUNCTION("IMPORTRANGE(""https://docs.google.com/spreadsheets/d/1SX6NBoVAgQJ6U1MVXOaj8PK2l7WJ3RER9xtqwdhxkhw/edit?usp=sharing"",""ชัยนาท!J346"")"),0)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IFERROR(__xludf.DUMMYFUNCTION("IMPORTRANGE(""https://docs.google.com/spreadsheets/d/1SX6NBoVAgQJ6U1MVXOaj8PK2l7WJ3RER9xtqwdhxkhw/edit?usp=sharing"",""ชัยนาท!I347"")"),0)</f>
        <v>0</v>
      </c>
      <c r="J452" s="188">
        <f ca="1">IFERROR(__xludf.DUMMYFUNCTION("IMPORTRANGE(""https://docs.google.com/spreadsheets/d/1SX6NBoVAgQJ6U1MVXOaj8PK2l7WJ3RER9xtqwdhxkhw/edit?usp=sharing"",""ชัยนาท!J347"")"),0)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IFERROR(__xludf.DUMMYFUNCTION("IMPORTRANGE(""https://docs.google.com/spreadsheets/d/1SX6NBoVAgQJ6U1MVXOaj8PK2l7WJ3RER9xtqwdhxkhw/edit?usp=sharing"",""ชัยนาท!J348"")"),0)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IFERROR(__xludf.DUMMYFUNCTION("IMPORTRANGE(""https://docs.google.com/spreadsheets/d/1SX6NBoVAgQJ6U1MVXOaj8PK2l7WJ3RER9xtqwdhxkhw/edit?usp=sharing"",""ชัยนาท!J349"")"),0)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IFERROR(__xludf.DUMMYFUNCTION("IMPORTRANGE(""https://docs.google.com/spreadsheets/d/1SX6NBoVAgQJ6U1MVXOaj8PK2l7WJ3RER9xtqwdhxkhw/edit?usp=sharing"",""ชัยนาท!I350"")"),5989)</f>
        <v>5989</v>
      </c>
      <c r="J455" s="371">
        <f ca="1">IFERROR(__xludf.DUMMYFUNCTION("IMPORTRANGE(""https://docs.google.com/spreadsheets/d/1SX6NBoVAgQJ6U1MVXOaj8PK2l7WJ3RER9xtqwdhxkhw/edit?usp=sharing"",""ชัยนาท!J350"")"),5989)</f>
        <v>5989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IFERROR(__xludf.DUMMYFUNCTION("IMPORTRANGE(""https://docs.google.com/spreadsheets/d/1SX6NBoVAgQJ6U1MVXOaj8PK2l7WJ3RER9xtqwdhxkhw/edit?usp=sharing"",""ชัยนาท!L350"")"),98174)</f>
        <v>98174</v>
      </c>
      <c r="M455" s="373"/>
      <c r="N455" s="373">
        <f ca="1">IFERROR(__xludf.DUMMYFUNCTION("IMPORTRANGE(""https://docs.google.com/spreadsheets/d/1SX6NBoVAgQJ6U1MVXOaj8PK2l7WJ3RER9xtqwdhxkhw/edit?usp=sharing"",""ชัยนาท!M350"")"),35460)</f>
        <v>35460</v>
      </c>
      <c r="O455" s="373">
        <f t="shared" ref="O455:O459" ca="1" si="116">+IF(L455&gt;0,N455*100/L455,0)</f>
        <v>36.119542852486404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IFERROR(__xludf.DUMMYFUNCTION("IMPORTRANGE(""https://docs.google.com/spreadsheets/d/1SX6NBoVAgQJ6U1MVXOaj8PK2l7WJ3RER9xtqwdhxkhw/edit?usp=sharing"",""ชัยนาท!L351"")"),0)</f>
        <v>0</v>
      </c>
      <c r="M456" s="164"/>
      <c r="N456" s="169">
        <f ca="1">IFERROR(__xludf.DUMMYFUNCTION("IMPORTRANGE(""https://docs.google.com/spreadsheets/d/1SX6NBoVAgQJ6U1MVXOaj8PK2l7WJ3RER9xtqwdhxkhw/edit?usp=sharing"",""ชัยนาท!M351"")"),0)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IFERROR(__xludf.DUMMYFUNCTION("IMPORTRANGE(""https://docs.google.com/spreadsheets/d/1SX6NBoVAgQJ6U1MVXOaj8PK2l7WJ3RER9xtqwdhxkhw/edit?usp=sharing"",""ชัยนาท!L352"")"),98174)</f>
        <v>98174</v>
      </c>
      <c r="M457" s="165"/>
      <c r="N457" s="169">
        <f ca="1">IFERROR(__xludf.DUMMYFUNCTION("IMPORTRANGE(""https://docs.google.com/spreadsheets/d/1SX6NBoVAgQJ6U1MVXOaj8PK2l7WJ3RER9xtqwdhxkhw/edit?usp=sharing"",""ชัยนาท!M352"")"),35460)</f>
        <v>35460</v>
      </c>
      <c r="O457" s="169">
        <f t="shared" ca="1" si="116"/>
        <v>36.119542852486404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IFERROR(__xludf.DUMMYFUNCTION("IMPORTRANGE(""https://docs.google.com/spreadsheets/d/1SX6NBoVAgQJ6U1MVXOaj8PK2l7WJ3RER9xtqwdhxkhw/edit?usp=sharing"",""ชัยนาท!L353"")"),0)</f>
        <v>0</v>
      </c>
      <c r="M458" s="169"/>
      <c r="N458" s="169">
        <f ca="1">IFERROR(__xludf.DUMMYFUNCTION("IMPORTRANGE(""https://docs.google.com/spreadsheets/d/1SX6NBoVAgQJ6U1MVXOaj8PK2l7WJ3RER9xtqwdhxkhw/edit?usp=sharing"",""ชัยนาท!M353"")"),0)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IFERROR(__xludf.DUMMYFUNCTION("IMPORTRANGE(""https://docs.google.com/spreadsheets/d/1SX6NBoVAgQJ6U1MVXOaj8PK2l7WJ3RER9xtqwdhxkhw/edit?usp=sharing"",""ชัยนาท!L354"")"),98174)</f>
        <v>98174</v>
      </c>
      <c r="M459" s="169"/>
      <c r="N459" s="169">
        <f ca="1">IFERROR(__xludf.DUMMYFUNCTION("IMPORTRANGE(""https://docs.google.com/spreadsheets/d/1SX6NBoVAgQJ6U1MVXOaj8PK2l7WJ3RER9xtqwdhxkhw/edit?usp=sharing"",""ชัยนาท!M354"")"),35460)</f>
        <v>35460</v>
      </c>
      <c r="O459" s="169">
        <f t="shared" ca="1" si="116"/>
        <v>36.119542852486404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IFERROR(__xludf.DUMMYFUNCTION("IMPORTRANGE(""https://docs.google.com/spreadsheets/d/1SX6NBoVAgQJ6U1MVXOaj8PK2l7WJ3RER9xtqwdhxkhw/edit?usp=sharing"",""ชัยนาท!M355"")"),0)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IFERROR(__xludf.DUMMYFUNCTION("IMPORTRANGE(""https://docs.google.com/spreadsheets/d/1SX6NBoVAgQJ6U1MVXOaj8PK2l7WJ3RER9xtqwdhxkhw/edit?usp=sharing"",""ชัยนาท!M356"")"),0)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IFERROR(__xludf.DUMMYFUNCTION("IMPORTRANGE(""https://docs.google.com/spreadsheets/d/1SX6NBoVAgQJ6U1MVXOaj8PK2l7WJ3RER9xtqwdhxkhw/edit?usp=sharing"",""ชัยนาท!M357"")"),0)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IFERROR(__xludf.DUMMYFUNCTION("IMPORTRANGE(""https://docs.google.com/spreadsheets/d/1SX6NBoVAgQJ6U1MVXOaj8PK2l7WJ3RER9xtqwdhxkhw/edit?usp=sharing"",""ชัยนาท!M358"")"),35460)</f>
        <v>35460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IFERROR(__xludf.DUMMYFUNCTION("IMPORTRANGE(""https://docs.google.com/spreadsheets/d/1SX6NBoVAgQJ6U1MVXOaj8PK2l7WJ3RER9xtqwdhxkhw/edit?usp=sharing"",""ชัยนาท!I359"")"),5989)</f>
        <v>5989</v>
      </c>
      <c r="J464" s="267">
        <f ca="1">IFERROR(__xludf.DUMMYFUNCTION("IMPORTRANGE(""https://docs.google.com/spreadsheets/d/1SX6NBoVAgQJ6U1MVXOaj8PK2l7WJ3RER9xtqwdhxkhw/edit?usp=sharing"",""ชัยนาท!J359"")"),5989)</f>
        <v>5989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IFERROR(__xludf.DUMMYFUNCTION("IMPORTRANGE(""https://docs.google.com/spreadsheets/d/1SX6NBoVAgQJ6U1MVXOaj8PK2l7WJ3RER9xtqwdhxkhw/edit?usp=sharing"",""ชัยนาท!I360"")"),5989)</f>
        <v>5989</v>
      </c>
      <c r="J465" s="420">
        <f ca="1">IFERROR(__xludf.DUMMYFUNCTION("IMPORTRANGE(""https://docs.google.com/spreadsheets/d/1SX6NBoVAgQJ6U1MVXOaj8PK2l7WJ3RER9xtqwdhxkhw/edit?usp=sharing"",""ชัยนาท!J360"")"),5989)</f>
        <v>5989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IFERROR(__xludf.DUMMYFUNCTION("IMPORTRANGE(""https://docs.google.com/spreadsheets/d/1SX6NBoVAgQJ6U1MVXOaj8PK2l7WJ3RER9xtqwdhxkhw/edit?usp=sharing"",""ชัยนาท!I361"")"),321)</f>
        <v>321</v>
      </c>
      <c r="J466" s="420">
        <f ca="1">IFERROR(__xludf.DUMMYFUNCTION("IMPORTRANGE(""https://docs.google.com/spreadsheets/d/1SX6NBoVAgQJ6U1MVXOaj8PK2l7WJ3RER9xtqwdhxkhw/edit?usp=sharing"",""ชัยนาท!J361"")"),321)</f>
        <v>321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IFERROR(__xludf.DUMMYFUNCTION("IMPORTRANGE(""https://docs.google.com/spreadsheets/d/1SX6NBoVAgQJ6U1MVXOaj8PK2l7WJ3RER9xtqwdhxkhw/edit?usp=sharing"",""ชัยนาท!I362"")"),0)</f>
        <v>0</v>
      </c>
      <c r="J467" s="189">
        <f ca="1">IFERROR(__xludf.DUMMYFUNCTION("IMPORTRANGE(""https://docs.google.com/spreadsheets/d/1SX6NBoVAgQJ6U1MVXOaj8PK2l7WJ3RER9xtqwdhxkhw/edit?usp=sharing"",""ชัยนาท!J362"")"),5731)</f>
        <v>5731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IFERROR(__xludf.DUMMYFUNCTION("IMPORTRANGE(""https://docs.google.com/spreadsheets/d/1SX6NBoVAgQJ6U1MVXOaj8PK2l7WJ3RER9xtqwdhxkhw/edit?usp=sharing"",""ชัยนาท!I363"")"),0)</f>
        <v>0</v>
      </c>
      <c r="J468" s="189">
        <f ca="1">IFERROR(__xludf.DUMMYFUNCTION("IMPORTRANGE(""https://docs.google.com/spreadsheets/d/1SX6NBoVAgQJ6U1MVXOaj8PK2l7WJ3RER9xtqwdhxkhw/edit?usp=sharing"",""ชัยนาท!J363"")"),300)</f>
        <v>300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IFERROR(__xludf.DUMMYFUNCTION("IMPORTRANGE(""https://docs.google.com/spreadsheets/d/1SX6NBoVAgQJ6U1MVXOaj8PK2l7WJ3RER9xtqwdhxkhw/edit?usp=sharing"",""ชัยนาท!I364"")"),0)</f>
        <v>0</v>
      </c>
      <c r="J469" s="189">
        <f ca="1">IFERROR(__xludf.DUMMYFUNCTION("IMPORTRANGE(""https://docs.google.com/spreadsheets/d/1SX6NBoVAgQJ6U1MVXOaj8PK2l7WJ3RER9xtqwdhxkhw/edit?usp=sharing"",""ชัยนาท!J364"")"),180)</f>
        <v>180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IFERROR(__xludf.DUMMYFUNCTION("IMPORTRANGE(""https://docs.google.com/spreadsheets/d/1SX6NBoVAgQJ6U1MVXOaj8PK2l7WJ3RER9xtqwdhxkhw/edit?usp=sharing"",""ชัยนาท!I365"")"),0)</f>
        <v>0</v>
      </c>
      <c r="J470" s="189">
        <f ca="1">IFERROR(__xludf.DUMMYFUNCTION("IMPORTRANGE(""https://docs.google.com/spreadsheets/d/1SX6NBoVAgQJ6U1MVXOaj8PK2l7WJ3RER9xtqwdhxkhw/edit?usp=sharing"",""ชัยนาท!J365"")"),17)</f>
        <v>17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IFERROR(__xludf.DUMMYFUNCTION("IMPORTRANGE(""https://docs.google.com/spreadsheets/d/1SX6NBoVAgQJ6U1MVXOaj8PK2l7WJ3RER9xtqwdhxkhw/edit?usp=sharing"",""ชัยนาท!I366"")"),0)</f>
        <v>0</v>
      </c>
      <c r="J471" s="189">
        <f ca="1">IFERROR(__xludf.DUMMYFUNCTION("IMPORTRANGE(""https://docs.google.com/spreadsheets/d/1SX6NBoVAgQJ6U1MVXOaj8PK2l7WJ3RER9xtqwdhxkhw/edit?usp=sharing"",""ชัยนาท!J366"")"),78)</f>
        <v>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IFERROR(__xludf.DUMMYFUNCTION("IMPORTRANGE(""https://docs.google.com/spreadsheets/d/1SX6NBoVAgQJ6U1MVXOaj8PK2l7WJ3RER9xtqwdhxkhw/edit?usp=sharing"",""ชัยนาท!I367"")"),0)</f>
        <v>0</v>
      </c>
      <c r="J472" s="189">
        <f ca="1">IFERROR(__xludf.DUMMYFUNCTION("IMPORTRANGE(""https://docs.google.com/spreadsheets/d/1SX6NBoVAgQJ6U1MVXOaj8PK2l7WJ3RER9xtqwdhxkhw/edit?usp=sharing"",""ชัยนาท!J367"")"),4)</f>
        <v>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IFERROR(__xludf.DUMMYFUNCTION("IMPORTRANGE(""https://docs.google.com/spreadsheets/d/1SX6NBoVAgQJ6U1MVXOaj8PK2l7WJ3RER9xtqwdhxkhw/edit?usp=sharing"",""ชัยนาท!I368"")"),5989)</f>
        <v>5989</v>
      </c>
      <c r="J473" s="420">
        <f ca="1">IFERROR(__xludf.DUMMYFUNCTION("IMPORTRANGE(""https://docs.google.com/spreadsheets/d/1SX6NBoVAgQJ6U1MVXOaj8PK2l7WJ3RER9xtqwdhxkhw/edit?usp=sharing"",""ชัยนาท!J368"")"),5989)</f>
        <v>5989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IFERROR(__xludf.DUMMYFUNCTION("IMPORTRANGE(""https://docs.google.com/spreadsheets/d/1SX6NBoVAgQJ6U1MVXOaj8PK2l7WJ3RER9xtqwdhxkhw/edit?usp=sharing"",""ชัยนาท!I369"")"),321)</f>
        <v>321</v>
      </c>
      <c r="J474" s="420">
        <f ca="1">IFERROR(__xludf.DUMMYFUNCTION("IMPORTRANGE(""https://docs.google.com/spreadsheets/d/1SX6NBoVAgQJ6U1MVXOaj8PK2l7WJ3RER9xtqwdhxkhw/edit?usp=sharing"",""ชัยนาท!J369"")"),321)</f>
        <v>321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IFERROR(__xludf.DUMMYFUNCTION("IMPORTRANGE(""https://docs.google.com/spreadsheets/d/1SX6NBoVAgQJ6U1MVXOaj8PK2l7WJ3RER9xtqwdhxkhw/edit?usp=sharing"",""ชัยนาท!I370"")"),0)</f>
        <v>0</v>
      </c>
      <c r="J475" s="189">
        <f ca="1">IFERROR(__xludf.DUMMYFUNCTION("IMPORTRANGE(""https://docs.google.com/spreadsheets/d/1SX6NBoVAgQJ6U1MVXOaj8PK2l7WJ3RER9xtqwdhxkhw/edit?usp=sharing"",""ชัยนาท!J370"")"),5731)</f>
        <v>5731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IFERROR(__xludf.DUMMYFUNCTION("IMPORTRANGE(""https://docs.google.com/spreadsheets/d/1SX6NBoVAgQJ6U1MVXOaj8PK2l7WJ3RER9xtqwdhxkhw/edit?usp=sharing"",""ชัยนาท!I371"")"),0)</f>
        <v>0</v>
      </c>
      <c r="J476" s="189">
        <f ca="1">IFERROR(__xludf.DUMMYFUNCTION("IMPORTRANGE(""https://docs.google.com/spreadsheets/d/1SX6NBoVAgQJ6U1MVXOaj8PK2l7WJ3RER9xtqwdhxkhw/edit?usp=sharing"",""ชัยนาท!J371"")"),300)</f>
        <v>300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IFERROR(__xludf.DUMMYFUNCTION("IMPORTRANGE(""https://docs.google.com/spreadsheets/d/1SX6NBoVAgQJ6U1MVXOaj8PK2l7WJ3RER9xtqwdhxkhw/edit?usp=sharing"",""ชัยนาท!I372"")"),0)</f>
        <v>0</v>
      </c>
      <c r="J477" s="189">
        <f ca="1">IFERROR(__xludf.DUMMYFUNCTION("IMPORTRANGE(""https://docs.google.com/spreadsheets/d/1SX6NBoVAgQJ6U1MVXOaj8PK2l7WJ3RER9xtqwdhxkhw/edit?usp=sharing"",""ชัยนาท!J372"")"),180)</f>
        <v>180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IFERROR(__xludf.DUMMYFUNCTION("IMPORTRANGE(""https://docs.google.com/spreadsheets/d/1SX6NBoVAgQJ6U1MVXOaj8PK2l7WJ3RER9xtqwdhxkhw/edit?usp=sharing"",""ชัยนาท!I373"")"),0)</f>
        <v>0</v>
      </c>
      <c r="J478" s="189">
        <f ca="1">IFERROR(__xludf.DUMMYFUNCTION("IMPORTRANGE(""https://docs.google.com/spreadsheets/d/1SX6NBoVAgQJ6U1MVXOaj8PK2l7WJ3RER9xtqwdhxkhw/edit?usp=sharing"",""ชัยนาท!J373"")"),17)</f>
        <v>17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IFERROR(__xludf.DUMMYFUNCTION("IMPORTRANGE(""https://docs.google.com/spreadsheets/d/1SX6NBoVAgQJ6U1MVXOaj8PK2l7WJ3RER9xtqwdhxkhw/edit?usp=sharing"",""ชัยนาท!I374"")"),0)</f>
        <v>0</v>
      </c>
      <c r="J479" s="189">
        <f ca="1">IFERROR(__xludf.DUMMYFUNCTION("IMPORTRANGE(""https://docs.google.com/spreadsheets/d/1SX6NBoVAgQJ6U1MVXOaj8PK2l7WJ3RER9xtqwdhxkhw/edit?usp=sharing"",""ชัยนาท!J374"")"),78)</f>
        <v>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IFERROR(__xludf.DUMMYFUNCTION("IMPORTRANGE(""https://docs.google.com/spreadsheets/d/1SX6NBoVAgQJ6U1MVXOaj8PK2l7WJ3RER9xtqwdhxkhw/edit?usp=sharing"",""ชัยนาท!I375"")"),0)</f>
        <v>0</v>
      </c>
      <c r="J480" s="189">
        <f ca="1">IFERROR(__xludf.DUMMYFUNCTION("IMPORTRANGE(""https://docs.google.com/spreadsheets/d/1SX6NBoVAgQJ6U1MVXOaj8PK2l7WJ3RER9xtqwdhxkhw/edit?usp=sharing"",""ชัยนาท!J375"")"),4)</f>
        <v>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IFERROR(__xludf.DUMMYFUNCTION("IMPORTRANGE(""https://docs.google.com/spreadsheets/d/1SX6NBoVAgQJ6U1MVXOaj8PK2l7WJ3RER9xtqwdhxkhw/edit?usp=sharing"",""ชัยนาท!I376"")"),5989)</f>
        <v>5989</v>
      </c>
      <c r="J481" s="420">
        <f ca="1">IFERROR(__xludf.DUMMYFUNCTION("IMPORTRANGE(""https://docs.google.com/spreadsheets/d/1SX6NBoVAgQJ6U1MVXOaj8PK2l7WJ3RER9xtqwdhxkhw/edit?usp=sharing"",""ชัยนาท!J376"")"),5989)</f>
        <v>5989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IFERROR(__xludf.DUMMYFUNCTION("IMPORTRANGE(""https://docs.google.com/spreadsheets/d/1SX6NBoVAgQJ6U1MVXOaj8PK2l7WJ3RER9xtqwdhxkhw/edit?usp=sharing"",""ชัยนาท!I377"")"),321)</f>
        <v>321</v>
      </c>
      <c r="J482" s="420">
        <f ca="1">IFERROR(__xludf.DUMMYFUNCTION("IMPORTRANGE(""https://docs.google.com/spreadsheets/d/1SX6NBoVAgQJ6U1MVXOaj8PK2l7WJ3RER9xtqwdhxkhw/edit?usp=sharing"",""ชัยนาท!J377"")"),321)</f>
        <v>321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IFERROR(__xludf.DUMMYFUNCTION("IMPORTRANGE(""https://docs.google.com/spreadsheets/d/1SX6NBoVAgQJ6U1MVXOaj8PK2l7WJ3RER9xtqwdhxkhw/edit?usp=sharing"",""ชัยนาท!I378"")"),0)</f>
        <v>0</v>
      </c>
      <c r="J483" s="189">
        <f ca="1">IFERROR(__xludf.DUMMYFUNCTION("IMPORTRANGE(""https://docs.google.com/spreadsheets/d/1SX6NBoVAgQJ6U1MVXOaj8PK2l7WJ3RER9xtqwdhxkhw/edit?usp=sharing"",""ชัยนาท!J378"")"),5731)</f>
        <v>5731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IFERROR(__xludf.DUMMYFUNCTION("IMPORTRANGE(""https://docs.google.com/spreadsheets/d/1SX6NBoVAgQJ6U1MVXOaj8PK2l7WJ3RER9xtqwdhxkhw/edit?usp=sharing"",""ชัยนาท!I379"")"),0)</f>
        <v>0</v>
      </c>
      <c r="J484" s="189">
        <f ca="1">IFERROR(__xludf.DUMMYFUNCTION("IMPORTRANGE(""https://docs.google.com/spreadsheets/d/1SX6NBoVAgQJ6U1MVXOaj8PK2l7WJ3RER9xtqwdhxkhw/edit?usp=sharing"",""ชัยนาท!J379"")"),300)</f>
        <v>300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IFERROR(__xludf.DUMMYFUNCTION("IMPORTRANGE(""https://docs.google.com/spreadsheets/d/1SX6NBoVAgQJ6U1MVXOaj8PK2l7WJ3RER9xtqwdhxkhw/edit?usp=sharing"",""ชัยนาท!I380"")"),0)</f>
        <v>0</v>
      </c>
      <c r="J485" s="189">
        <f ca="1">IFERROR(__xludf.DUMMYFUNCTION("IMPORTRANGE(""https://docs.google.com/spreadsheets/d/1SX6NBoVAgQJ6U1MVXOaj8PK2l7WJ3RER9xtqwdhxkhw/edit?usp=sharing"",""ชัยนาท!J380"")"),180)</f>
        <v>180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IFERROR(__xludf.DUMMYFUNCTION("IMPORTRANGE(""https://docs.google.com/spreadsheets/d/1SX6NBoVAgQJ6U1MVXOaj8PK2l7WJ3RER9xtqwdhxkhw/edit?usp=sharing"",""ชัยนาท!I381"")"),0)</f>
        <v>0</v>
      </c>
      <c r="J486" s="189">
        <f ca="1">IFERROR(__xludf.DUMMYFUNCTION("IMPORTRANGE(""https://docs.google.com/spreadsheets/d/1SX6NBoVAgQJ6U1MVXOaj8PK2l7WJ3RER9xtqwdhxkhw/edit?usp=sharing"",""ชัยนาท!J381"")"),17)</f>
        <v>17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IFERROR(__xludf.DUMMYFUNCTION("IMPORTRANGE(""https://docs.google.com/spreadsheets/d/1SX6NBoVAgQJ6U1MVXOaj8PK2l7WJ3RER9xtqwdhxkhw/edit?usp=sharing"",""ชัยนาท!I382"")"),0)</f>
        <v>0</v>
      </c>
      <c r="J487" s="420">
        <f ca="1">IFERROR(__xludf.DUMMYFUNCTION("IMPORTRANGE(""https://docs.google.com/spreadsheets/d/1SX6NBoVAgQJ6U1MVXOaj8PK2l7WJ3RER9xtqwdhxkhw/edit?usp=sharing"",""ชัยนาท!J382"")"),78)</f>
        <v>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IFERROR(__xludf.DUMMYFUNCTION("IMPORTRANGE(""https://docs.google.com/spreadsheets/d/1SX6NBoVAgQJ6U1MVXOaj8PK2l7WJ3RER9xtqwdhxkhw/edit?usp=sharing"",""ชัยนาท!I383"")"),0)</f>
        <v>0</v>
      </c>
      <c r="J488" s="420">
        <f ca="1">IFERROR(__xludf.DUMMYFUNCTION("IMPORTRANGE(""https://docs.google.com/spreadsheets/d/1SX6NBoVAgQJ6U1MVXOaj8PK2l7WJ3RER9xtqwdhxkhw/edit?usp=sharing"",""ชัยนาท!J383"")"),4)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IFERROR(__xludf.DUMMYFUNCTION("IMPORTRANGE(""https://docs.google.com/spreadsheets/d/1SX6NBoVAgQJ6U1MVXOaj8PK2l7WJ3RER9xtqwdhxkhw/edit?usp=sharing"",""ชัยนาท!I384"")"),0)</f>
        <v>0</v>
      </c>
      <c r="J489" s="189">
        <f ca="1">IFERROR(__xludf.DUMMYFUNCTION("IMPORTRANGE(""https://docs.google.com/spreadsheets/d/1SX6NBoVAgQJ6U1MVXOaj8PK2l7WJ3RER9xtqwdhxkhw/edit?usp=sharing"",""ชัยนาท!J384"")"),78)</f>
        <v>78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IFERROR(__xludf.DUMMYFUNCTION("IMPORTRANGE(""https://docs.google.com/spreadsheets/d/1SX6NBoVAgQJ6U1MVXOaj8PK2l7WJ3RER9xtqwdhxkhw/edit?usp=sharing"",""ชัยนาท!I385"")"),0)</f>
        <v>0</v>
      </c>
      <c r="J490" s="189">
        <f ca="1">IFERROR(__xludf.DUMMYFUNCTION("IMPORTRANGE(""https://docs.google.com/spreadsheets/d/1SX6NBoVAgQJ6U1MVXOaj8PK2l7WJ3RER9xtqwdhxkhw/edit?usp=sharing"",""ชัยนาท!J385"")"),4)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IFERROR(__xludf.DUMMYFUNCTION("IMPORTRANGE(""https://docs.google.com/spreadsheets/d/1SX6NBoVAgQJ6U1MVXOaj8PK2l7WJ3RER9xtqwdhxkhw/edit?usp=sharing"",""ชัยนาท!I386"")"),0)</f>
        <v>0</v>
      </c>
      <c r="J491" s="189">
        <f ca="1">IFERROR(__xludf.DUMMYFUNCTION("IMPORTRANGE(""https://docs.google.com/spreadsheets/d/1SX6NBoVAgQJ6U1MVXOaj8PK2l7WJ3RER9xtqwdhxkhw/edit?usp=sharing"",""ชัยนาท!J386"")"),0)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IFERROR(__xludf.DUMMYFUNCTION("IMPORTRANGE(""https://docs.google.com/spreadsheets/d/1SX6NBoVAgQJ6U1MVXOaj8PK2l7WJ3RER9xtqwdhxkhw/edit?usp=sharing"",""ชัยนาท!I387"")"),0)</f>
        <v>0</v>
      </c>
      <c r="J492" s="189">
        <f ca="1">IFERROR(__xludf.DUMMYFUNCTION("IMPORTRANGE(""https://docs.google.com/spreadsheets/d/1SX6NBoVAgQJ6U1MVXOaj8PK2l7WJ3RER9xtqwdhxkhw/edit?usp=sharing"",""ชัยนาท!J387"")"),0)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IFERROR(__xludf.DUMMYFUNCTION("IMPORTRANGE(""https://docs.google.com/spreadsheets/d/1SX6NBoVAgQJ6U1MVXOaj8PK2l7WJ3RER9xtqwdhxkhw/edit?usp=sharing"",""ชัยนาท!I388"")"),0)</f>
        <v>0</v>
      </c>
      <c r="J493" s="189">
        <f ca="1">IFERROR(__xludf.DUMMYFUNCTION("IMPORTRANGE(""https://docs.google.com/spreadsheets/d/1SX6NBoVAgQJ6U1MVXOaj8PK2l7WJ3RER9xtqwdhxkhw/edit?usp=sharing"",""ชัยนาท!J388"")"),0)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IFERROR(__xludf.DUMMYFUNCTION("IMPORTRANGE(""https://docs.google.com/spreadsheets/d/1SX6NBoVAgQJ6U1MVXOaj8PK2l7WJ3RER9xtqwdhxkhw/edit?usp=sharing"",""ชัยนาท!I389"")"),0)</f>
        <v>0</v>
      </c>
      <c r="J494" s="436">
        <f ca="1">IFERROR(__xludf.DUMMYFUNCTION("IMPORTRANGE(""https://docs.google.com/spreadsheets/d/1SX6NBoVAgQJ6U1MVXOaj8PK2l7WJ3RER9xtqwdhxkhw/edit?usp=sharing"",""ชัยนาท!J389"")"),0)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IFERROR(__xludf.DUMMYFUNCTION("IMPORTRANGE(""https://docs.google.com/spreadsheets/d/1SX6NBoVAgQJ6U1MVXOaj8PK2l7WJ3RER9xtqwdhxkhw/edit?usp=sharing"",""ชัยนาท!I390"")"),0)</f>
        <v>0</v>
      </c>
      <c r="J495" s="436">
        <f ca="1">IFERROR(__xludf.DUMMYFUNCTION("IMPORTRANGE(""https://docs.google.com/spreadsheets/d/1SX6NBoVAgQJ6U1MVXOaj8PK2l7WJ3RER9xtqwdhxkhw/edit?usp=sharing"",""ชัยนาท!J390"")"),0)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IFERROR(__xludf.DUMMYFUNCTION("IMPORTRANGE(""https://docs.google.com/spreadsheets/d/1SX6NBoVAgQJ6U1MVXOaj8PK2l7WJ3RER9xtqwdhxkhw/edit?usp=sharing"",""ชัยนาท!I391"")"),0)</f>
        <v>0</v>
      </c>
      <c r="J496" s="436">
        <f ca="1">IFERROR(__xludf.DUMMYFUNCTION("IMPORTRANGE(""https://docs.google.com/spreadsheets/d/1SX6NBoVAgQJ6U1MVXOaj8PK2l7WJ3RER9xtqwdhxkhw/edit?usp=sharing"",""ชัยนาท!J391"")"),0)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IFERROR(__xludf.DUMMYFUNCTION("IMPORTRANGE(""https://docs.google.com/spreadsheets/d/1SX6NBoVAgQJ6U1MVXOaj8PK2l7WJ3RER9xtqwdhxkhw/edit?usp=sharing"",""ชัยนาท!I392"")"),115)</f>
        <v>115</v>
      </c>
      <c r="J497" s="443">
        <f ca="1">IFERROR(__xludf.DUMMYFUNCTION("IMPORTRANGE(""https://docs.google.com/spreadsheets/d/1SX6NBoVAgQJ6U1MVXOaj8PK2l7WJ3RER9xtqwdhxkhw/edit?usp=sharing"",""ชัยนาท!J392"")"),115)</f>
        <v>115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IFERROR(__xludf.DUMMYFUNCTION("IMPORTRANGE(""https://docs.google.com/spreadsheets/d/1SX6NBoVAgQJ6U1MVXOaj8PK2l7WJ3RER9xtqwdhxkhw/edit?usp=sharing"",""ชัยนาท!I393"")"),115)</f>
        <v>115</v>
      </c>
      <c r="J498" s="420">
        <f ca="1">IFERROR(__xludf.DUMMYFUNCTION("IMPORTRANGE(""https://docs.google.com/spreadsheets/d/1SX6NBoVAgQJ6U1MVXOaj8PK2l7WJ3RER9xtqwdhxkhw/edit?usp=sharing"",""ชัยนาท!J393"")"),115)</f>
        <v>115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IFERROR(__xludf.DUMMYFUNCTION("IMPORTRANGE(""https://docs.google.com/spreadsheets/d/1SX6NBoVAgQJ6U1MVXOaj8PK2l7WJ3RER9xtqwdhxkhw/edit?usp=sharing"",""ชัยนาท!I394"")"),6)</f>
        <v>6</v>
      </c>
      <c r="J499" s="420">
        <f ca="1">IFERROR(__xludf.DUMMYFUNCTION("IMPORTRANGE(""https://docs.google.com/spreadsheets/d/1SX6NBoVAgQJ6U1MVXOaj8PK2l7WJ3RER9xtqwdhxkhw/edit?usp=sharing"",""ชัยนาท!J394"")"),6)</f>
        <v>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IFERROR(__xludf.DUMMYFUNCTION("IMPORTRANGE(""https://docs.google.com/spreadsheets/d/1SX6NBoVAgQJ6U1MVXOaj8PK2l7WJ3RER9xtqwdhxkhw/edit?usp=sharing"",""ชัยนาท!I395"")"),0)</f>
        <v>0</v>
      </c>
      <c r="J500" s="162">
        <f ca="1">IFERROR(__xludf.DUMMYFUNCTION("IMPORTRANGE(""https://docs.google.com/spreadsheets/d/1SX6NBoVAgQJ6U1MVXOaj8PK2l7WJ3RER9xtqwdhxkhw/edit?usp=sharing"",""ชัยนาท!J395"")"),115)</f>
        <v>115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IFERROR(__xludf.DUMMYFUNCTION("IMPORTRANGE(""https://docs.google.com/spreadsheets/d/1SX6NBoVAgQJ6U1MVXOaj8PK2l7WJ3RER9xtqwdhxkhw/edit?usp=sharing"",""ชัยนาท!I396"")"),0)</f>
        <v>0</v>
      </c>
      <c r="J501" s="162">
        <f ca="1">IFERROR(__xludf.DUMMYFUNCTION("IMPORTRANGE(""https://docs.google.com/spreadsheets/d/1SX6NBoVAgQJ6U1MVXOaj8PK2l7WJ3RER9xtqwdhxkhw/edit?usp=sharing"",""ชัยนาท!J396"")"),6)</f>
        <v>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IFERROR(__xludf.DUMMYFUNCTION("IMPORTRANGE(""https://docs.google.com/spreadsheets/d/1SX6NBoVAgQJ6U1MVXOaj8PK2l7WJ3RER9xtqwdhxkhw/edit?usp=sharing"",""ชัยนาท!I397"")"),0)</f>
        <v>0</v>
      </c>
      <c r="J502" s="189">
        <f ca="1">IFERROR(__xludf.DUMMYFUNCTION("IMPORTRANGE(""https://docs.google.com/spreadsheets/d/1SX6NBoVAgQJ6U1MVXOaj8PK2l7WJ3RER9xtqwdhxkhw/edit?usp=sharing"",""ชัยนาท!J397"")"),115)</f>
        <v>115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IFERROR(__xludf.DUMMYFUNCTION("IMPORTRANGE(""https://docs.google.com/spreadsheets/d/1SX6NBoVAgQJ6U1MVXOaj8PK2l7WJ3RER9xtqwdhxkhw/edit?usp=sharing"",""ชัยนาท!I398"")"),0)</f>
        <v>0</v>
      </c>
      <c r="J503" s="198">
        <f ca="1">IFERROR(__xludf.DUMMYFUNCTION("IMPORTRANGE(""https://docs.google.com/spreadsheets/d/1SX6NBoVAgQJ6U1MVXOaj8PK2l7WJ3RER9xtqwdhxkhw/edit?usp=sharing"",""ชัยนาท!J398"")"),6)</f>
        <v>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IFERROR(__xludf.DUMMYFUNCTION("IMPORTRANGE(""https://docs.google.com/spreadsheets/d/1SX6NBoVAgQJ6U1MVXOaj8PK2l7WJ3RER9xtqwdhxkhw/edit?usp=sharing"",""ชัยนาท!I399"")"),0)</f>
        <v>0</v>
      </c>
      <c r="J504" s="189">
        <f ca="1">IFERROR(__xludf.DUMMYFUNCTION("IMPORTRANGE(""https://docs.google.com/spreadsheets/d/1SX6NBoVAgQJ6U1MVXOaj8PK2l7WJ3RER9xtqwdhxkhw/edit?usp=sharing"",""ชัยนาท!J399"")"),0)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IFERROR(__xludf.DUMMYFUNCTION("IMPORTRANGE(""https://docs.google.com/spreadsheets/d/1SX6NBoVAgQJ6U1MVXOaj8PK2l7WJ3RER9xtqwdhxkhw/edit?usp=sharing"",""ชัยนาท!I400"")"),0)</f>
        <v>0</v>
      </c>
      <c r="J505" s="198">
        <f ca="1">IFERROR(__xludf.DUMMYFUNCTION("IMPORTRANGE(""https://docs.google.com/spreadsheets/d/1SX6NBoVAgQJ6U1MVXOaj8PK2l7WJ3RER9xtqwdhxkhw/edit?usp=sharing"",""ชัยนาท!J400"")"),0)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IFERROR(__xludf.DUMMYFUNCTION("IMPORTRANGE(""https://docs.google.com/spreadsheets/d/1SX6NBoVAgQJ6U1MVXOaj8PK2l7WJ3RER9xtqwdhxkhw/edit?usp=sharing"",""ชัยนาท!I401"")"),0)</f>
        <v>0</v>
      </c>
      <c r="J506" s="189">
        <f ca="1">IFERROR(__xludf.DUMMYFUNCTION("IMPORTRANGE(""https://docs.google.com/spreadsheets/d/1SX6NBoVAgQJ6U1MVXOaj8PK2l7WJ3RER9xtqwdhxkhw/edit?usp=sharing"",""ชัยนาท!J401"")"),0)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IFERROR(__xludf.DUMMYFUNCTION("IMPORTRANGE(""https://docs.google.com/spreadsheets/d/1SX6NBoVAgQJ6U1MVXOaj8PK2l7WJ3RER9xtqwdhxkhw/edit?usp=sharing"",""ชัยนาท!I402"")"),0)</f>
        <v>0</v>
      </c>
      <c r="J507" s="198">
        <f ca="1">IFERROR(__xludf.DUMMYFUNCTION("IMPORTRANGE(""https://docs.google.com/spreadsheets/d/1SX6NBoVAgQJ6U1MVXOaj8PK2l7WJ3RER9xtqwdhxkhw/edit?usp=sharing"",""ชัยนาท!J402"")"),0)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IFERROR(__xludf.DUMMYFUNCTION("IMPORTRANGE(""https://docs.google.com/spreadsheets/d/1SX6NBoVAgQJ6U1MVXOaj8PK2l7WJ3RER9xtqwdhxkhw/edit?usp=sharing"",""ชัยนาท!I403"")"),0)</f>
        <v>0</v>
      </c>
      <c r="J508" s="162">
        <f ca="1">IFERROR(__xludf.DUMMYFUNCTION("IMPORTRANGE(""https://docs.google.com/spreadsheets/d/1SX6NBoVAgQJ6U1MVXOaj8PK2l7WJ3RER9xtqwdhxkhw/edit?usp=sharing"",""ชัยนาท!J403"")"),0)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IFERROR(__xludf.DUMMYFUNCTION("IMPORTRANGE(""https://docs.google.com/spreadsheets/d/1SX6NBoVAgQJ6U1MVXOaj8PK2l7WJ3RER9xtqwdhxkhw/edit?usp=sharing"",""ชัยนาท!I404"")"),0)</f>
        <v>0</v>
      </c>
      <c r="J509" s="162">
        <f ca="1">IFERROR(__xludf.DUMMYFUNCTION("IMPORTRANGE(""https://docs.google.com/spreadsheets/d/1SX6NBoVAgQJ6U1MVXOaj8PK2l7WJ3RER9xtqwdhxkhw/edit?usp=sharing"",""ชัยนาท!J404"")"),0)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IFERROR(__xludf.DUMMYFUNCTION("IMPORTRANGE(""https://docs.google.com/spreadsheets/d/1SX6NBoVAgQJ6U1MVXOaj8PK2l7WJ3RER9xtqwdhxkhw/edit?usp=sharing"",""ชัยนาท!I405"")"),0)</f>
        <v>0</v>
      </c>
      <c r="J510" s="198">
        <f ca="1">IFERROR(__xludf.DUMMYFUNCTION("IMPORTRANGE(""https://docs.google.com/spreadsheets/d/1SX6NBoVAgQJ6U1MVXOaj8PK2l7WJ3RER9xtqwdhxkhw/edit?usp=sharing"",""ชัยนาท!J405"")"),0)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IFERROR(__xludf.DUMMYFUNCTION("IMPORTRANGE(""https://docs.google.com/spreadsheets/d/1SX6NBoVAgQJ6U1MVXOaj8PK2l7WJ3RER9xtqwdhxkhw/edit?usp=sharing"",""ชัยนาท!I406"")"),0)</f>
        <v>0</v>
      </c>
      <c r="J511" s="198">
        <f ca="1">IFERROR(__xludf.DUMMYFUNCTION("IMPORTRANGE(""https://docs.google.com/spreadsheets/d/1SX6NBoVAgQJ6U1MVXOaj8PK2l7WJ3RER9xtqwdhxkhw/edit?usp=sharing"",""ชัยนาท!J406"")"),0)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IFERROR(__xludf.DUMMYFUNCTION("IMPORTRANGE(""https://docs.google.com/spreadsheets/d/1SX6NBoVAgQJ6U1MVXOaj8PK2l7WJ3RER9xtqwdhxkhw/edit?usp=sharing"",""ชัยนาท!I407"")"),0)</f>
        <v>0</v>
      </c>
      <c r="J512" s="198">
        <f ca="1">IFERROR(__xludf.DUMMYFUNCTION("IMPORTRANGE(""https://docs.google.com/spreadsheets/d/1SX6NBoVAgQJ6U1MVXOaj8PK2l7WJ3RER9xtqwdhxkhw/edit?usp=sharing"",""ชัยนาท!J407"")"),0)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IFERROR(__xludf.DUMMYFUNCTION("IMPORTRANGE(""https://docs.google.com/spreadsheets/d/1SX6NBoVAgQJ6U1MVXOaj8PK2l7WJ3RER9xtqwdhxkhw/edit?usp=sharing"",""ชัยนาท!I408"")"),0)</f>
        <v>0</v>
      </c>
      <c r="J513" s="198">
        <f ca="1">IFERROR(__xludf.DUMMYFUNCTION("IMPORTRANGE(""https://docs.google.com/spreadsheets/d/1SX6NBoVAgQJ6U1MVXOaj8PK2l7WJ3RER9xtqwdhxkhw/edit?usp=sharing"",""ชัยนาท!J408"")"),0)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IFERROR(__xludf.DUMMYFUNCTION("IMPORTRANGE(""https://docs.google.com/spreadsheets/d/1SX6NBoVAgQJ6U1MVXOaj8PK2l7WJ3RER9xtqwdhxkhw/edit?usp=sharing"",""ชัยนาท!I409"")"),0)</f>
        <v>0</v>
      </c>
      <c r="J514" s="198">
        <f ca="1">IFERROR(__xludf.DUMMYFUNCTION("IMPORTRANGE(""https://docs.google.com/spreadsheets/d/1SX6NBoVAgQJ6U1MVXOaj8PK2l7WJ3RER9xtqwdhxkhw/edit?usp=sharing"",""ชัยนาท!J409"")"),0)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IFERROR(__xludf.DUMMYFUNCTION("IMPORTRANGE(""https://docs.google.com/spreadsheets/d/1SX6NBoVAgQJ6U1MVXOaj8PK2l7WJ3RER9xtqwdhxkhw/edit?usp=sharing"",""ชัยนาท!I410"")"),0)</f>
        <v>0</v>
      </c>
      <c r="J515" s="198">
        <f ca="1">IFERROR(__xludf.DUMMYFUNCTION("IMPORTRANGE(""https://docs.google.com/spreadsheets/d/1SX6NBoVAgQJ6U1MVXOaj8PK2l7WJ3RER9xtqwdhxkhw/edit?usp=sharing"",""ชัยนาท!J410"")"),0)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IFERROR(__xludf.DUMMYFUNCTION("IMPORTRANGE(""https://docs.google.com/spreadsheets/d/1SX6NBoVAgQJ6U1MVXOaj8PK2l7WJ3RER9xtqwdhxkhw/edit?usp=sharing"",""ชัยนาท!I411"")"),0)</f>
        <v>0</v>
      </c>
      <c r="J516" s="267">
        <f ca="1">IFERROR(__xludf.DUMMYFUNCTION("IMPORTRANGE(""https://docs.google.com/spreadsheets/d/1SX6NBoVAgQJ6U1MVXOaj8PK2l7WJ3RER9xtqwdhxkhw/edit?usp=sharing"",""ชัยนาท!J411"")"),0)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IFERROR(__xludf.DUMMYFUNCTION("IMPORTRANGE(""https://docs.google.com/spreadsheets/d/1SX6NBoVAgQJ6U1MVXOaj8PK2l7WJ3RER9xtqwdhxkhw/edit?usp=sharing"",""ชัยนาท!I412"")"),0)</f>
        <v>0</v>
      </c>
      <c r="J517" s="284">
        <f ca="1">IFERROR(__xludf.DUMMYFUNCTION("IMPORTRANGE(""https://docs.google.com/spreadsheets/d/1SX6NBoVAgQJ6U1MVXOaj8PK2l7WJ3RER9xtqwdhxkhw/edit?usp=sharing"",""ชัยนาท!J412"")"),0)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IFERROR(__xludf.DUMMYFUNCTION("IMPORTRANGE(""https://docs.google.com/spreadsheets/d/1SX6NBoVAgQJ6U1MVXOaj8PK2l7WJ3RER9xtqwdhxkhw/edit?usp=sharing"",""ชัยนาท!I413"")"),0)</f>
        <v>0</v>
      </c>
      <c r="J518" s="284">
        <f ca="1">IFERROR(__xludf.DUMMYFUNCTION("IMPORTRANGE(""https://docs.google.com/spreadsheets/d/1SX6NBoVAgQJ6U1MVXOaj8PK2l7WJ3RER9xtqwdhxkhw/edit?usp=sharing"",""ชัยนาท!J413"")"),0)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IFERROR(__xludf.DUMMYFUNCTION("IMPORTRANGE(""https://docs.google.com/spreadsheets/d/1SX6NBoVAgQJ6U1MVXOaj8PK2l7WJ3RER9xtqwdhxkhw/edit?usp=sharing"",""ชัยนาท!I414"")"),0)</f>
        <v>0</v>
      </c>
      <c r="J519" s="188">
        <f ca="1">IFERROR(__xludf.DUMMYFUNCTION("IMPORTRANGE(""https://docs.google.com/spreadsheets/d/1SX6NBoVAgQJ6U1MVXOaj8PK2l7WJ3RER9xtqwdhxkhw/edit?usp=sharing"",""ชัยนาท!J414"")"),0)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IFERROR(__xludf.DUMMYFUNCTION("IMPORTRANGE(""https://docs.google.com/spreadsheets/d/1SX6NBoVAgQJ6U1MVXOaj8PK2l7WJ3RER9xtqwdhxkhw/edit?usp=sharing"",""ชัยนาท!I415"")"),0)</f>
        <v>0</v>
      </c>
      <c r="J520" s="188">
        <f ca="1">IFERROR(__xludf.DUMMYFUNCTION("IMPORTRANGE(""https://docs.google.com/spreadsheets/d/1SX6NBoVAgQJ6U1MVXOaj8PK2l7WJ3RER9xtqwdhxkhw/edit?usp=sharing"",""ชัยนาท!J415"")"),0)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IFERROR(__xludf.DUMMYFUNCTION("IMPORTRANGE(""https://docs.google.com/spreadsheets/d/1SX6NBoVAgQJ6U1MVXOaj8PK2l7WJ3RER9xtqwdhxkhw/edit?usp=sharing"",""ชัยนาท!I416"")"),0)</f>
        <v>0</v>
      </c>
      <c r="J521" s="188">
        <f ca="1">IFERROR(__xludf.DUMMYFUNCTION("IMPORTRANGE(""https://docs.google.com/spreadsheets/d/1SX6NBoVAgQJ6U1MVXOaj8PK2l7WJ3RER9xtqwdhxkhw/edit?usp=sharing"",""ชัยนาท!J416"")"),0)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IFERROR(__xludf.DUMMYFUNCTION("IMPORTRANGE(""https://docs.google.com/spreadsheets/d/1SX6NBoVAgQJ6U1MVXOaj8PK2l7WJ3RER9xtqwdhxkhw/edit?usp=sharing"",""ชัยนาท!I417"")"),0)</f>
        <v>0</v>
      </c>
      <c r="J522" s="188">
        <f ca="1">IFERROR(__xludf.DUMMYFUNCTION("IMPORTRANGE(""https://docs.google.com/spreadsheets/d/1SX6NBoVAgQJ6U1MVXOaj8PK2l7WJ3RER9xtqwdhxkhw/edit?usp=sharing"",""ชัยนาท!J417"")"),0)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IFERROR(__xludf.DUMMYFUNCTION("IMPORTRANGE(""https://docs.google.com/spreadsheets/d/1SX6NBoVAgQJ6U1MVXOaj8PK2l7WJ3RER9xtqwdhxkhw/edit?usp=sharing"",""ชัยนาท!I418"")"),0)</f>
        <v>0</v>
      </c>
      <c r="J523" s="188">
        <f ca="1">IFERROR(__xludf.DUMMYFUNCTION("IMPORTRANGE(""https://docs.google.com/spreadsheets/d/1SX6NBoVAgQJ6U1MVXOaj8PK2l7WJ3RER9xtqwdhxkhw/edit?usp=sharing"",""ชัยนาท!J418"")"),0)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IFERROR(__xludf.DUMMYFUNCTION("IMPORTRANGE(""https://docs.google.com/spreadsheets/d/1SX6NBoVAgQJ6U1MVXOaj8PK2l7WJ3RER9xtqwdhxkhw/edit?usp=sharing"",""ชัยนาท!I419"")"),0)</f>
        <v>0</v>
      </c>
      <c r="J524" s="188">
        <f ca="1">IFERROR(__xludf.DUMMYFUNCTION("IMPORTRANGE(""https://docs.google.com/spreadsheets/d/1SX6NBoVAgQJ6U1MVXOaj8PK2l7WJ3RER9xtqwdhxkhw/edit?usp=sharing"",""ชัยนาท!J419"")"),0)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IFERROR(__xludf.DUMMYFUNCTION("IMPORTRANGE(""https://docs.google.com/spreadsheets/d/1SX6NBoVAgQJ6U1MVXOaj8PK2l7WJ3RER9xtqwdhxkhw/edit?usp=sharing"",""ชัยนาท!I420"")"),0)</f>
        <v>0</v>
      </c>
      <c r="J525" s="284">
        <f ca="1">IFERROR(__xludf.DUMMYFUNCTION("IMPORTRANGE(""https://docs.google.com/spreadsheets/d/1SX6NBoVAgQJ6U1MVXOaj8PK2l7WJ3RER9xtqwdhxkhw/edit?usp=sharing"",""ชัยนาท!J420"")"),0)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IFERROR(__xludf.DUMMYFUNCTION("IMPORTRANGE(""https://docs.google.com/spreadsheets/d/1SX6NBoVAgQJ6U1MVXOaj8PK2l7WJ3RER9xtqwdhxkhw/edit?usp=sharing"",""ชัยนาท!I421"")"),0)</f>
        <v>0</v>
      </c>
      <c r="J526" s="284">
        <f ca="1">IFERROR(__xludf.DUMMYFUNCTION("IMPORTRANGE(""https://docs.google.com/spreadsheets/d/1SX6NBoVAgQJ6U1MVXOaj8PK2l7WJ3RER9xtqwdhxkhw/edit?usp=sharing"",""ชัยนาท!J421"")"),0)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IFERROR(__xludf.DUMMYFUNCTION("IMPORTRANGE(""https://docs.google.com/spreadsheets/d/1SX6NBoVAgQJ6U1MVXOaj8PK2l7WJ3RER9xtqwdhxkhw/edit?usp=sharing"",""ชัยนาท!I422"")"),0)</f>
        <v>0</v>
      </c>
      <c r="J527" s="198">
        <f ca="1">IFERROR(__xludf.DUMMYFUNCTION("IMPORTRANGE(""https://docs.google.com/spreadsheets/d/1SX6NBoVAgQJ6U1MVXOaj8PK2l7WJ3RER9xtqwdhxkhw/edit?usp=sharing"",""ชัยนาท!J422"")"),0)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IFERROR(__xludf.DUMMYFUNCTION("IMPORTRANGE(""https://docs.google.com/spreadsheets/d/1SX6NBoVAgQJ6U1MVXOaj8PK2l7WJ3RER9xtqwdhxkhw/edit?usp=sharing"",""ชัยนาท!I423"")"),0)</f>
        <v>0</v>
      </c>
      <c r="J528" s="198">
        <f ca="1">IFERROR(__xludf.DUMMYFUNCTION("IMPORTRANGE(""https://docs.google.com/spreadsheets/d/1SX6NBoVAgQJ6U1MVXOaj8PK2l7WJ3RER9xtqwdhxkhw/edit?usp=sharing"",""ชัยนาท!J423"")"),0)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IFERROR(__xludf.DUMMYFUNCTION("IMPORTRANGE(""https://docs.google.com/spreadsheets/d/1SX6NBoVAgQJ6U1MVXOaj8PK2l7WJ3RER9xtqwdhxkhw/edit?usp=sharing"",""ชัยนาท!I424"")"),0)</f>
        <v>0</v>
      </c>
      <c r="J529" s="198">
        <f ca="1">IFERROR(__xludf.DUMMYFUNCTION("IMPORTRANGE(""https://docs.google.com/spreadsheets/d/1SX6NBoVAgQJ6U1MVXOaj8PK2l7WJ3RER9xtqwdhxkhw/edit?usp=sharing"",""ชัยนาท!J424"")"),0)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IFERROR(__xludf.DUMMYFUNCTION("IMPORTRANGE(""https://docs.google.com/spreadsheets/d/1SX6NBoVAgQJ6U1MVXOaj8PK2l7WJ3RER9xtqwdhxkhw/edit?usp=sharing"",""ชัยนาท!I425"")"),0)</f>
        <v>0</v>
      </c>
      <c r="J530" s="198">
        <f ca="1">IFERROR(__xludf.DUMMYFUNCTION("IMPORTRANGE(""https://docs.google.com/spreadsheets/d/1SX6NBoVAgQJ6U1MVXOaj8PK2l7WJ3RER9xtqwdhxkhw/edit?usp=sharing"",""ชัยนาท!J425"")"),0)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IFERROR(__xludf.DUMMYFUNCTION("IMPORTRANGE(""https://docs.google.com/spreadsheets/d/1SX6NBoVAgQJ6U1MVXOaj8PK2l7WJ3RER9xtqwdhxkhw/edit?usp=sharing"",""ชัยนาท!I426"")"),0)</f>
        <v>0</v>
      </c>
      <c r="J531" s="198">
        <f ca="1">IFERROR(__xludf.DUMMYFUNCTION("IMPORTRANGE(""https://docs.google.com/spreadsheets/d/1SX6NBoVAgQJ6U1MVXOaj8PK2l7WJ3RER9xtqwdhxkhw/edit?usp=sharing"",""ชัยนาท!J426"")"),0)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IFERROR(__xludf.DUMMYFUNCTION("IMPORTRANGE(""https://docs.google.com/spreadsheets/d/1SX6NBoVAgQJ6U1MVXOaj8PK2l7WJ3RER9xtqwdhxkhw/edit?usp=sharing"",""ชัยนาท!I427"")"),0)</f>
        <v>0</v>
      </c>
      <c r="J532" s="466">
        <f ca="1">IFERROR(__xludf.DUMMYFUNCTION("IMPORTRANGE(""https://docs.google.com/spreadsheets/d/1SX6NBoVAgQJ6U1MVXOaj8PK2l7WJ3RER9xtqwdhxkhw/edit?usp=sharing"",""ชัยนาท!J427"")"),0)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IFERROR(__xludf.DUMMYFUNCTION("IMPORTRANGE(""https://docs.google.com/spreadsheets/d/1SX6NBoVAgQJ6U1MVXOaj8PK2l7WJ3RER9xtqwdhxkhw/edit?usp=sharing"",""ชัยนาท!I428"")"),22)</f>
        <v>22</v>
      </c>
      <c r="J533" s="410">
        <f ca="1">IFERROR(__xludf.DUMMYFUNCTION("IMPORTRANGE(""https://docs.google.com/spreadsheets/d/1SX6NBoVAgQJ6U1MVXOaj8PK2l7WJ3RER9xtqwdhxkhw/edit?usp=sharing"",""ชัยนาท!J428"")"),22)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IFERROR(__xludf.DUMMYFUNCTION("IMPORTRANGE(""https://docs.google.com/spreadsheets/d/1SX6NBoVAgQJ6U1MVXOaj8PK2l7WJ3RER9xtqwdhxkhw/edit?usp=sharing"",""ชัยนาท!L428"")"),34340)</f>
        <v>34340</v>
      </c>
      <c r="M533" s="412"/>
      <c r="N533" s="412">
        <f ca="1">IFERROR(__xludf.DUMMYFUNCTION("IMPORTRANGE(""https://docs.google.com/spreadsheets/d/1SX6NBoVAgQJ6U1MVXOaj8PK2l7WJ3RER9xtqwdhxkhw/edit?usp=sharing"",""ชัยนาท!M428"")"),26220)</f>
        <v>26220</v>
      </c>
      <c r="O533" s="412">
        <f t="shared" ref="O533:O537" ca="1" si="118">+IF(L533&gt;0,N533*100/L533,0)</f>
        <v>76.35410599883518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IFERROR(__xludf.DUMMYFUNCTION("IMPORTRANGE(""https://docs.google.com/spreadsheets/d/1SX6NBoVAgQJ6U1MVXOaj8PK2l7WJ3RER9xtqwdhxkhw/edit?usp=sharing"",""ชัยนาท!L429"")"),0)</f>
        <v>0</v>
      </c>
      <c r="M534" s="164"/>
      <c r="N534" s="169">
        <f ca="1">IFERROR(__xludf.DUMMYFUNCTION("IMPORTRANGE(""https://docs.google.com/spreadsheets/d/1SX6NBoVAgQJ6U1MVXOaj8PK2l7WJ3RER9xtqwdhxkhw/edit?usp=sharing"",""ชัยนาท!M429"")"),0)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IFERROR(__xludf.DUMMYFUNCTION("IMPORTRANGE(""https://docs.google.com/spreadsheets/d/1SX6NBoVAgQJ6U1MVXOaj8PK2l7WJ3RER9xtqwdhxkhw/edit?usp=sharing"",""ชัยนาท!L430"")"),34340)</f>
        <v>34340</v>
      </c>
      <c r="M535" s="165"/>
      <c r="N535" s="169">
        <f ca="1">IFERROR(__xludf.DUMMYFUNCTION("IMPORTRANGE(""https://docs.google.com/spreadsheets/d/1SX6NBoVAgQJ6U1MVXOaj8PK2l7WJ3RER9xtqwdhxkhw/edit?usp=sharing"",""ชัยนาท!M430"")"),26220)</f>
        <v>26220</v>
      </c>
      <c r="O535" s="169">
        <f t="shared" ca="1" si="118"/>
        <v>76.35410599883518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IFERROR(__xludf.DUMMYFUNCTION("IMPORTRANGE(""https://docs.google.com/spreadsheets/d/1SX6NBoVAgQJ6U1MVXOaj8PK2l7WJ3RER9xtqwdhxkhw/edit?usp=sharing"",""ชัยนาท!L431"")"),0)</f>
        <v>0</v>
      </c>
      <c r="M536" s="169"/>
      <c r="N536" s="169">
        <f ca="1">IFERROR(__xludf.DUMMYFUNCTION("IMPORTRANGE(""https://docs.google.com/spreadsheets/d/1SX6NBoVAgQJ6U1MVXOaj8PK2l7WJ3RER9xtqwdhxkhw/edit?usp=sharing"",""ชัยนาท!M431"")"),0)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IFERROR(__xludf.DUMMYFUNCTION("IMPORTRANGE(""https://docs.google.com/spreadsheets/d/1SX6NBoVAgQJ6U1MVXOaj8PK2l7WJ3RER9xtqwdhxkhw/edit?usp=sharing"",""ชัยนาท!L432"")"),34340)</f>
        <v>34340</v>
      </c>
      <c r="M537" s="169"/>
      <c r="N537" s="169">
        <f ca="1">IFERROR(__xludf.DUMMYFUNCTION("IMPORTRANGE(""https://docs.google.com/spreadsheets/d/1SX6NBoVAgQJ6U1MVXOaj8PK2l7WJ3RER9xtqwdhxkhw/edit?usp=sharing"",""ชัยนาท!M432"")"),26220)</f>
        <v>26220</v>
      </c>
      <c r="O537" s="169">
        <f t="shared" ca="1" si="118"/>
        <v>76.35410599883518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IFERROR(__xludf.DUMMYFUNCTION("IMPORTRANGE(""https://docs.google.com/spreadsheets/d/1SX6NBoVAgQJ6U1MVXOaj8PK2l7WJ3RER9xtqwdhxkhw/edit?usp=sharing"",""ชัยนาท!M433"")"),18740)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IFERROR(__xludf.DUMMYFUNCTION("IMPORTRANGE(""https://docs.google.com/spreadsheets/d/1SX6NBoVAgQJ6U1MVXOaj8PK2l7WJ3RER9xtqwdhxkhw/edit?usp=sharing"",""ชัยนาท!M434"")"),0)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IFERROR(__xludf.DUMMYFUNCTION("IMPORTRANGE(""https://docs.google.com/spreadsheets/d/1SX6NBoVAgQJ6U1MVXOaj8PK2l7WJ3RER9xtqwdhxkhw/edit?usp=sharing"",""ชัยนาท!M435"")"),0)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IFERROR(__xludf.DUMMYFUNCTION("IMPORTRANGE(""https://docs.google.com/spreadsheets/d/1SX6NBoVAgQJ6U1MVXOaj8PK2l7WJ3RER9xtqwdhxkhw/edit?usp=sharing"",""ชัยนาท!M436"")"),7480)</f>
        <v>7480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IFERROR(__xludf.DUMMYFUNCTION("IMPORTRANGE(""https://docs.google.com/spreadsheets/d/1SX6NBoVAgQJ6U1MVXOaj8PK2l7WJ3RER9xtqwdhxkhw/edit?usp=sharing"",""ชัยนาท!J438"")"),0)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IFERROR(__xludf.DUMMYFUNCTION("IMPORTRANGE(""https://docs.google.com/spreadsheets/d/1SX6NBoVAgQJ6U1MVXOaj8PK2l7WJ3RER9xtqwdhxkhw/edit?usp=sharing"",""ชัยนาท!J439"")"),1)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IFERROR(__xludf.DUMMYFUNCTION("IMPORTRANGE(""https://docs.google.com/spreadsheets/d/1SX6NBoVAgQJ6U1MVXOaj8PK2l7WJ3RER9xtqwdhxkhw/edit?usp=sharing"",""ชัยนาท!J440"")"),1)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IFERROR(__xludf.DUMMYFUNCTION("IMPORTRANGE(""https://docs.google.com/spreadsheets/d/1SX6NBoVAgQJ6U1MVXOaj8PK2l7WJ3RER9xtqwdhxkhw/edit?usp=sharing"",""ชัยนาท!J441"")"),1)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IFERROR(__xludf.DUMMYFUNCTION("IMPORTRANGE(""https://docs.google.com/spreadsheets/d/1SX6NBoVAgQJ6U1MVXOaj8PK2l7WJ3RER9xtqwdhxkhw/edit?usp=sharing"",""ชัยนาท!I442"")"),22)</f>
        <v>22</v>
      </c>
      <c r="J547" s="189">
        <f ca="1">IFERROR(__xludf.DUMMYFUNCTION("IMPORTRANGE(""https://docs.google.com/spreadsheets/d/1SX6NBoVAgQJ6U1MVXOaj8PK2l7WJ3RER9xtqwdhxkhw/edit?usp=sharing"",""ชัยนาท!J442"")"),22)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IFERROR(__xludf.DUMMYFUNCTION("IMPORTRANGE(""https://docs.google.com/spreadsheets/d/1SX6NBoVAgQJ6U1MVXOaj8PK2l7WJ3RER9xtqwdhxkhw/edit?usp=sharing"",""ชัยนาท!J166"")"),0)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IFERROR(__xludf.DUMMYFUNCTION("IMPORTRANGE(""https://docs.google.com/spreadsheets/d/1SX6NBoVAgQJ6U1MVXOaj8PK2l7WJ3RER9xtqwdhxkhw/edit?usp=sharing"",""ชัยนาท!J444"")"),0)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IFERROR(__xludf.DUMMYFUNCTION("IMPORTRANGE(""https://docs.google.com/spreadsheets/d/1SX6NBoVAgQJ6U1MVXOaj8PK2l7WJ3RER9xtqwdhxkhw/edit?usp=sharing"",""ชัยนาท!J445"")"),0)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IFERROR(__xludf.DUMMYFUNCTION("IMPORTRANGE(""https://docs.google.com/spreadsheets/d/1SX6NBoVAgQJ6U1MVXOaj8PK2l7WJ3RER9xtqwdhxkhw/edit?usp=sharing"",""ชัยนาท!I446"")"),0)</f>
        <v>0</v>
      </c>
      <c r="J551" s="410">
        <f ca="1">IFERROR(__xludf.DUMMYFUNCTION("IMPORTRANGE(""https://docs.google.com/spreadsheets/d/1SX6NBoVAgQJ6U1MVXOaj8PK2l7WJ3RER9xtqwdhxkhw/edit?usp=sharing"",""ชัยนาท!J446"")"),0)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IFERROR(__xludf.DUMMYFUNCTION("IMPORTRANGE(""https://docs.google.com/spreadsheets/d/1SX6NBoVAgQJ6U1MVXOaj8PK2l7WJ3RER9xtqwdhxkhw/edit?usp=sharing"",""ชัยนาท!L446"")"),0)</f>
        <v>0</v>
      </c>
      <c r="M551" s="412"/>
      <c r="N551" s="412">
        <f ca="1">IFERROR(__xludf.DUMMYFUNCTION("IMPORTRANGE(""https://docs.google.com/spreadsheets/d/1SX6NBoVAgQJ6U1MVXOaj8PK2l7WJ3RER9xtqwdhxkhw/edit?usp=sharing"",""ชัยนาท!M446"")"),0)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IFERROR(__xludf.DUMMYFUNCTION("IMPORTRANGE(""https://docs.google.com/spreadsheets/d/1SX6NBoVAgQJ6U1MVXOaj8PK2l7WJ3RER9xtqwdhxkhw/edit?usp=sharing"",""ชัยนาท!L447"")"),0)</f>
        <v>0</v>
      </c>
      <c r="M552" s="164"/>
      <c r="N552" s="169">
        <f ca="1">IFERROR(__xludf.DUMMYFUNCTION("IMPORTRANGE(""https://docs.google.com/spreadsheets/d/1SX6NBoVAgQJ6U1MVXOaj8PK2l7WJ3RER9xtqwdhxkhw/edit?usp=sharing"",""ชัยนาท!M447"")"),0)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IFERROR(__xludf.DUMMYFUNCTION("IMPORTRANGE(""https://docs.google.com/spreadsheets/d/1SX6NBoVAgQJ6U1MVXOaj8PK2l7WJ3RER9xtqwdhxkhw/edit?usp=sharing"",""ชัยนาท!L448"")"),0)</f>
        <v>0</v>
      </c>
      <c r="M553" s="165"/>
      <c r="N553" s="169">
        <f ca="1">IFERROR(__xludf.DUMMYFUNCTION("IMPORTRANGE(""https://docs.google.com/spreadsheets/d/1SX6NBoVAgQJ6U1MVXOaj8PK2l7WJ3RER9xtqwdhxkhw/edit?usp=sharing"",""ชัยนาท!M448"")"),0)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IFERROR(__xludf.DUMMYFUNCTION("IMPORTRANGE(""https://docs.google.com/spreadsheets/d/1SX6NBoVAgQJ6U1MVXOaj8PK2l7WJ3RER9xtqwdhxkhw/edit?usp=sharing"",""ชัยนาท!L449"")"),0)</f>
        <v>0</v>
      </c>
      <c r="M554" s="169"/>
      <c r="N554" s="169">
        <f ca="1">IFERROR(__xludf.DUMMYFUNCTION("IMPORTRANGE(""https://docs.google.com/spreadsheets/d/1SX6NBoVAgQJ6U1MVXOaj8PK2l7WJ3RER9xtqwdhxkhw/edit?usp=sharing"",""ชัยนาท!M449"")"),0)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IFERROR(__xludf.DUMMYFUNCTION("IMPORTRANGE(""https://docs.google.com/spreadsheets/d/1SX6NBoVAgQJ6U1MVXOaj8PK2l7WJ3RER9xtqwdhxkhw/edit?usp=sharing"",""ชัยนาท!L450"")"),0)</f>
        <v>0</v>
      </c>
      <c r="M555" s="169"/>
      <c r="N555" s="169">
        <f ca="1">IFERROR(__xludf.DUMMYFUNCTION("IMPORTRANGE(""https://docs.google.com/spreadsheets/d/1SX6NBoVAgQJ6U1MVXOaj8PK2l7WJ3RER9xtqwdhxkhw/edit?usp=sharing"",""ชัยนาท!M450"")"),0)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IFERROR(__xludf.DUMMYFUNCTION("IMPORTRANGE(""https://docs.google.com/spreadsheets/d/1SX6NBoVAgQJ6U1MVXOaj8PK2l7WJ3RER9xtqwdhxkhw/edit?usp=sharing"",""ชัยนาท!M451"")"),0)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IFERROR(__xludf.DUMMYFUNCTION("IMPORTRANGE(""https://docs.google.com/spreadsheets/d/1SX6NBoVAgQJ6U1MVXOaj8PK2l7WJ3RER9xtqwdhxkhw/edit?usp=sharing"",""ชัยนาท!M452"")"),0)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IFERROR(__xludf.DUMMYFUNCTION("IMPORTRANGE(""https://docs.google.com/spreadsheets/d/1SX6NBoVAgQJ6U1MVXOaj8PK2l7WJ3RER9xtqwdhxkhw/edit?usp=sharing"",""ชัยนาท!M453"")"),0)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IFERROR(__xludf.DUMMYFUNCTION("IMPORTRANGE(""https://docs.google.com/spreadsheets/d/1SX6NBoVAgQJ6U1MVXOaj8PK2l7WJ3RER9xtqwdhxkhw/edit?usp=sharing"",""ชัยนาท!M454"")"),0)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IFERROR(__xludf.DUMMYFUNCTION("IMPORTRANGE(""https://docs.google.com/spreadsheets/d/1SX6NBoVAgQJ6U1MVXOaj8PK2l7WJ3RER9xtqwdhxkhw/edit?usp=sharing"",""ชัยนาท!I455"")"),0)</f>
        <v>0</v>
      </c>
      <c r="J560" s="162">
        <f ca="1">IFERROR(__xludf.DUMMYFUNCTION("IMPORTRANGE(""https://docs.google.com/spreadsheets/d/1SX6NBoVAgQJ6U1MVXOaj8PK2l7WJ3RER9xtqwdhxkhw/edit?usp=sharing"",""ชัยนาท!J455"")"),0)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IFERROR(__xludf.DUMMYFUNCTION("IMPORTRANGE(""https://docs.google.com/spreadsheets/d/1SX6NBoVAgQJ6U1MVXOaj8PK2l7WJ3RER9xtqwdhxkhw/edit?usp=sharing"",""ชัยนาท!I456"")"),0)</f>
        <v>0</v>
      </c>
      <c r="J561" s="204">
        <f ca="1">IFERROR(__xludf.DUMMYFUNCTION("IMPORTRANGE(""https://docs.google.com/spreadsheets/d/1SX6NBoVAgQJ6U1MVXOaj8PK2l7WJ3RER9xtqwdhxkhw/edit?usp=sharing"",""ชัยนาท!J456"")"),0)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IFERROR(__xludf.DUMMYFUNCTION("IMPORTRANGE(""https://docs.google.com/spreadsheets/d/1SX6NBoVAgQJ6U1MVXOaj8PK2l7WJ3RER9xtqwdhxkhw/edit?usp=sharing"",""ชัยนาท!I459"")"),200)</f>
        <v>200</v>
      </c>
      <c r="J564" s="371">
        <f ca="1">IFERROR(__xludf.DUMMYFUNCTION("IMPORTRANGE(""https://docs.google.com/spreadsheets/d/1SX6NBoVAgQJ6U1MVXOaj8PK2l7WJ3RER9xtqwdhxkhw/edit?usp=sharing"",""ชัยนาท!J459"")"),1027)</f>
        <v>1027</v>
      </c>
      <c r="K564" s="372">
        <f ca="1">IF(I564&gt;0,J564*100/I564,0)</f>
        <v>513.5</v>
      </c>
      <c r="L564" s="373">
        <f ca="1">IFERROR(__xludf.DUMMYFUNCTION("IMPORTRANGE(""https://docs.google.com/spreadsheets/d/1SX6NBoVAgQJ6U1MVXOaj8PK2l7WJ3RER9xtqwdhxkhw/edit?usp=sharing"",""ชัยนาท!L459"")"),124800)</f>
        <v>124800</v>
      </c>
      <c r="M564" s="373"/>
      <c r="N564" s="373">
        <f ca="1">IFERROR(__xludf.DUMMYFUNCTION("IMPORTRANGE(""https://docs.google.com/spreadsheets/d/1SX6NBoVAgQJ6U1MVXOaj8PK2l7WJ3RER9xtqwdhxkhw/edit?usp=sharing"",""ชัยนาท!M459"")"),49025)</f>
        <v>49025</v>
      </c>
      <c r="O564" s="373">
        <f t="shared" ref="O564:O568" ca="1" si="122">+IF(L564&gt;0,N564*100/L564,0)</f>
        <v>39.282852564102562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IFERROR(__xludf.DUMMYFUNCTION("IMPORTRANGE(""https://docs.google.com/spreadsheets/d/1SX6NBoVAgQJ6U1MVXOaj8PK2l7WJ3RER9xtqwdhxkhw/edit?usp=sharing"",""ชัยนาท!L460"")"),0)</f>
        <v>0</v>
      </c>
      <c r="M565" s="164"/>
      <c r="N565" s="169">
        <f ca="1">IFERROR(__xludf.DUMMYFUNCTION("IMPORTRANGE(""https://docs.google.com/spreadsheets/d/1SX6NBoVAgQJ6U1MVXOaj8PK2l7WJ3RER9xtqwdhxkhw/edit?usp=sharing"",""ชัยนาท!M460"")"),0)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IFERROR(__xludf.DUMMYFUNCTION("IMPORTRANGE(""https://docs.google.com/spreadsheets/d/1SX6NBoVAgQJ6U1MVXOaj8PK2l7WJ3RER9xtqwdhxkhw/edit?usp=sharing"",""ชัยนาท!L461"")"),124800)</f>
        <v>124800</v>
      </c>
      <c r="M566" s="165"/>
      <c r="N566" s="169">
        <f ca="1">IFERROR(__xludf.DUMMYFUNCTION("IMPORTRANGE(""https://docs.google.com/spreadsheets/d/1SX6NBoVAgQJ6U1MVXOaj8PK2l7WJ3RER9xtqwdhxkhw/edit?usp=sharing"",""ชัยนาท!M461"")"),49025)</f>
        <v>49025</v>
      </c>
      <c r="O566" s="169">
        <f t="shared" ca="1" si="122"/>
        <v>39.282852564102562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IFERROR(__xludf.DUMMYFUNCTION("IMPORTRANGE(""https://docs.google.com/spreadsheets/d/1SX6NBoVAgQJ6U1MVXOaj8PK2l7WJ3RER9xtqwdhxkhw/edit?usp=sharing"",""ชัยนาท!L462"")"),0)</f>
        <v>0</v>
      </c>
      <c r="M567" s="169"/>
      <c r="N567" s="169">
        <f ca="1">IFERROR(__xludf.DUMMYFUNCTION("IMPORTRANGE(""https://docs.google.com/spreadsheets/d/1SX6NBoVAgQJ6U1MVXOaj8PK2l7WJ3RER9xtqwdhxkhw/edit?usp=sharing"",""ชัยนาท!M462"")"),0)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IFERROR(__xludf.DUMMYFUNCTION("IMPORTRANGE(""https://docs.google.com/spreadsheets/d/1SX6NBoVAgQJ6U1MVXOaj8PK2l7WJ3RER9xtqwdhxkhw/edit?usp=sharing"",""ชัยนาท!L463"")"),124800)</f>
        <v>124800</v>
      </c>
      <c r="M568" s="169"/>
      <c r="N568" s="169">
        <f ca="1">IFERROR(__xludf.DUMMYFUNCTION("IMPORTRANGE(""https://docs.google.com/spreadsheets/d/1SX6NBoVAgQJ6U1MVXOaj8PK2l7WJ3RER9xtqwdhxkhw/edit?usp=sharing"",""ชัยนาท!M463"")"),49025)</f>
        <v>49025</v>
      </c>
      <c r="O568" s="169">
        <f t="shared" ca="1" si="122"/>
        <v>39.282852564102562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IFERROR(__xludf.DUMMYFUNCTION("IMPORTRANGE(""https://docs.google.com/spreadsheets/d/1SX6NBoVAgQJ6U1MVXOaj8PK2l7WJ3RER9xtqwdhxkhw/edit?usp=sharing"",""ชัยนาท!M464"")"),0)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IFERROR(__xludf.DUMMYFUNCTION("IMPORTRANGE(""https://docs.google.com/spreadsheets/d/1SX6NBoVAgQJ6U1MVXOaj8PK2l7WJ3RER9xtqwdhxkhw/edit?usp=sharing"",""ชัยนาท!M465"")"),0)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IFERROR(__xludf.DUMMYFUNCTION("IMPORTRANGE(""https://docs.google.com/spreadsheets/d/1SX6NBoVAgQJ6U1MVXOaj8PK2l7WJ3RER9xtqwdhxkhw/edit?usp=sharing"",""ชัยนาท!M466"")"),44000)</f>
        <v>44000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IFERROR(__xludf.DUMMYFUNCTION("IMPORTRANGE(""https://docs.google.com/spreadsheets/d/1SX6NBoVAgQJ6U1MVXOaj8PK2l7WJ3RER9xtqwdhxkhw/edit?usp=sharing"",""ชัยนาท!M467"")"),5025)</f>
        <v>5025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IFERROR(__xludf.DUMMYFUNCTION("IMPORTRANGE(""https://docs.google.com/spreadsheets/d/1SX6NBoVAgQJ6U1MVXOaj8PK2l7WJ3RER9xtqwdhxkhw/edit?usp=sharing"",""ชัยนาท!I468"")"),200)</f>
        <v>200</v>
      </c>
      <c r="J573" s="420">
        <f ca="1">IFERROR(__xludf.DUMMYFUNCTION("IMPORTRANGE(""https://docs.google.com/spreadsheets/d/1SX6NBoVAgQJ6U1MVXOaj8PK2l7WJ3RER9xtqwdhxkhw/edit?usp=sharing"",""ชัยนาท!J468"")"),1027)</f>
        <v>1027</v>
      </c>
      <c r="K573" s="202">
        <f ca="1">IF(I573&gt;0,J573*100/I573,0)</f>
        <v>513.5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IFERROR(__xludf.DUMMYFUNCTION("IMPORTRANGE(""https://docs.google.com/spreadsheets/d/1SX6NBoVAgQJ6U1MVXOaj8PK2l7WJ3RER9xtqwdhxkhw/edit?usp=sharing"",""ชัยนาท!I470"")"),0)</f>
        <v>0</v>
      </c>
      <c r="J575" s="198">
        <f ca="1">IFERROR(__xludf.DUMMYFUNCTION("IMPORTRANGE(""https://docs.google.com/spreadsheets/d/1SX6NBoVAgQJ6U1MVXOaj8PK2l7WJ3RER9xtqwdhxkhw/edit?usp=sharing"",""ชัยนาท!J470"")"),2)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IFERROR(__xludf.DUMMYFUNCTION("IMPORTRANGE(""https://docs.google.com/spreadsheets/d/1SX6NBoVAgQJ6U1MVXOaj8PK2l7WJ3RER9xtqwdhxkhw/edit?usp=sharing"",""ชัยนาท!I471"")"),0)</f>
        <v>0</v>
      </c>
      <c r="J576" s="198">
        <f ca="1">IFERROR(__xludf.DUMMYFUNCTION("IMPORTRANGE(""https://docs.google.com/spreadsheets/d/1SX6NBoVAgQJ6U1MVXOaj8PK2l7WJ3RER9xtqwdhxkhw/edit?usp=sharing"",""ชัยนาท!J471"")"),21)</f>
        <v>21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IFERROR(__xludf.DUMMYFUNCTION("IMPORTRANGE(""https://docs.google.com/spreadsheets/d/1SX6NBoVAgQJ6U1MVXOaj8PK2l7WJ3RER9xtqwdhxkhw/edit?usp=sharing"",""ชัยนาท!I472"")"),0)</f>
        <v>0</v>
      </c>
      <c r="J577" s="189">
        <f ca="1">IFERROR(__xludf.DUMMYFUNCTION("IMPORTRANGE(""https://docs.google.com/spreadsheets/d/1SX6NBoVAgQJ6U1MVXOaj8PK2l7WJ3RER9xtqwdhxkhw/edit?usp=sharing"",""ชัยนาท!J472"")"),1006)</f>
        <v>1006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IFERROR(__xludf.DUMMYFUNCTION("IMPORTRANGE(""https://docs.google.com/spreadsheets/d/1SX6NBoVAgQJ6U1MVXOaj8PK2l7WJ3RER9xtqwdhxkhw/edit?usp=sharing"",""ชัยนาท!I473"")"),0)</f>
        <v>0</v>
      </c>
      <c r="J578" s="198">
        <f ca="1">IFERROR(__xludf.DUMMYFUNCTION("IMPORTRANGE(""https://docs.google.com/spreadsheets/d/1SX6NBoVAgQJ6U1MVXOaj8PK2l7WJ3RER9xtqwdhxkhw/edit?usp=sharing"",""ชัยนาท!J473"")"),0)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IFERROR(__xludf.DUMMYFUNCTION("IMPORTRANGE(""https://docs.google.com/spreadsheets/d/1SX6NBoVAgQJ6U1MVXOaj8PK2l7WJ3RER9xtqwdhxkhw/edit?usp=sharing"",""ชัยนาท!I474"")"),0)</f>
        <v>0</v>
      </c>
      <c r="J579" s="198">
        <f ca="1">IFERROR(__xludf.DUMMYFUNCTION("IMPORTRANGE(""https://docs.google.com/spreadsheets/d/1SX6NBoVAgQJ6U1MVXOaj8PK2l7WJ3RER9xtqwdhxkhw/edit?usp=sharing"",""ชัยนาท!J474"")"),0)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IFERROR(__xludf.DUMMYFUNCTION("IMPORTRANGE(""https://docs.google.com/spreadsheets/d/1SX6NBoVAgQJ6U1MVXOaj8PK2l7WJ3RER9xtqwdhxkhw/edit?usp=sharing"",""ชัยนาท!I475"")"),0)</f>
        <v>0</v>
      </c>
      <c r="J580" s="371">
        <f ca="1">IFERROR(__xludf.DUMMYFUNCTION("IMPORTRANGE(""https://docs.google.com/spreadsheets/d/1SX6NBoVAgQJ6U1MVXOaj8PK2l7WJ3RER9xtqwdhxkhw/edit?usp=sharing"",""ชัยนาท!J475"")"),2)</f>
        <v>2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IFERROR(__xludf.DUMMYFUNCTION("IMPORTRANGE(""https://docs.google.com/spreadsheets/d/1SX6NBoVAgQJ6U1MVXOaj8PK2l7WJ3RER9xtqwdhxkhw/edit?usp=sharing"",""ชัยนาท!L475"")"),0)</f>
        <v>0</v>
      </c>
      <c r="M580" s="373"/>
      <c r="N580" s="373">
        <f ca="1">IFERROR(__xludf.DUMMYFUNCTION("IMPORTRANGE(""https://docs.google.com/spreadsheets/d/1SX6NBoVAgQJ6U1MVXOaj8PK2l7WJ3RER9xtqwdhxkhw/edit?usp=sharing"",""ชัยนาท!M475"")"),0)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IFERROR(__xludf.DUMMYFUNCTION("IMPORTRANGE(""https://docs.google.com/spreadsheets/d/1SX6NBoVAgQJ6U1MVXOaj8PK2l7WJ3RER9xtqwdhxkhw/edit?usp=sharing"",""ชัยนาท!L476"")"),0)</f>
        <v>0</v>
      </c>
      <c r="M581" s="164"/>
      <c r="N581" s="169">
        <f ca="1">IFERROR(__xludf.DUMMYFUNCTION("IMPORTRANGE(""https://docs.google.com/spreadsheets/d/1SX6NBoVAgQJ6U1MVXOaj8PK2l7WJ3RER9xtqwdhxkhw/edit?usp=sharing"",""ชัยนาท!M476"")"),0)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IFERROR(__xludf.DUMMYFUNCTION("IMPORTRANGE(""https://docs.google.com/spreadsheets/d/1SX6NBoVAgQJ6U1MVXOaj8PK2l7WJ3RER9xtqwdhxkhw/edit?usp=sharing"",""ชัยนาท!L477"")"),0)</f>
        <v>0</v>
      </c>
      <c r="M582" s="165"/>
      <c r="N582" s="169">
        <f ca="1">IFERROR(__xludf.DUMMYFUNCTION("IMPORTRANGE(""https://docs.google.com/spreadsheets/d/1SX6NBoVAgQJ6U1MVXOaj8PK2l7WJ3RER9xtqwdhxkhw/edit?usp=sharing"",""ชัยนาท!M477"")"),0)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IFERROR(__xludf.DUMMYFUNCTION("IMPORTRANGE(""https://docs.google.com/spreadsheets/d/1SX6NBoVAgQJ6U1MVXOaj8PK2l7WJ3RER9xtqwdhxkhw/edit?usp=sharing"",""ชัยนาท!L478"")"),0)</f>
        <v>0</v>
      </c>
      <c r="M583" s="169"/>
      <c r="N583" s="169">
        <f ca="1">IFERROR(__xludf.DUMMYFUNCTION("IMPORTRANGE(""https://docs.google.com/spreadsheets/d/1SX6NBoVAgQJ6U1MVXOaj8PK2l7WJ3RER9xtqwdhxkhw/edit?usp=sharing"",""ชัยนาท!M478"")"),0)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IFERROR(__xludf.DUMMYFUNCTION("IMPORTRANGE(""https://docs.google.com/spreadsheets/d/1SX6NBoVAgQJ6U1MVXOaj8PK2l7WJ3RER9xtqwdhxkhw/edit?usp=sharing"",""ชัยนาท!L479"")"),0)</f>
        <v>0</v>
      </c>
      <c r="M584" s="169"/>
      <c r="N584" s="169">
        <f ca="1">IFERROR(__xludf.DUMMYFUNCTION("IMPORTRANGE(""https://docs.google.com/spreadsheets/d/1SX6NBoVAgQJ6U1MVXOaj8PK2l7WJ3RER9xtqwdhxkhw/edit?usp=sharing"",""ชัยนาท!M479"")"),0)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IFERROR(__xludf.DUMMYFUNCTION("IMPORTRANGE(""https://docs.google.com/spreadsheets/d/1SX6NBoVAgQJ6U1MVXOaj8PK2l7WJ3RER9xtqwdhxkhw/edit?usp=sharing"",""ชัยนาท!M480"")"),0)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IFERROR(__xludf.DUMMYFUNCTION("IMPORTRANGE(""https://docs.google.com/spreadsheets/d/1SX6NBoVAgQJ6U1MVXOaj8PK2l7WJ3RER9xtqwdhxkhw/edit?usp=sharing"",""ชัยนาท!M481"")"),0)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IFERROR(__xludf.DUMMYFUNCTION("IMPORTRANGE(""https://docs.google.com/spreadsheets/d/1SX6NBoVAgQJ6U1MVXOaj8PK2l7WJ3RER9xtqwdhxkhw/edit?usp=sharing"",""ชัยนาท!M482"")"),0)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IFERROR(__xludf.DUMMYFUNCTION("IMPORTRANGE(""https://docs.google.com/spreadsheets/d/1SX6NBoVAgQJ6U1MVXOaj8PK2l7WJ3RER9xtqwdhxkhw/edit?usp=sharing"",""ชัยนาท!M483"")"),0)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IFERROR(__xludf.DUMMYFUNCTION("IMPORTRANGE(""https://docs.google.com/spreadsheets/d/1SX6NBoVAgQJ6U1MVXOaj8PK2l7WJ3RER9xtqwdhxkhw/edit?usp=sharing"",""ชัยนาท!I484"")"),0)</f>
        <v>0</v>
      </c>
      <c r="J589" s="188">
        <f ca="1">IFERROR(__xludf.DUMMYFUNCTION("IMPORTRANGE(""https://docs.google.com/spreadsheets/d/1SX6NBoVAgQJ6U1MVXOaj8PK2l7WJ3RER9xtqwdhxkhw/edit?usp=sharing"",""ชัยนาท!J484"")"),0)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IFERROR(__xludf.DUMMYFUNCTION("IMPORTRANGE(""https://docs.google.com/spreadsheets/d/1SX6NBoVAgQJ6U1MVXOaj8PK2l7WJ3RER9xtqwdhxkhw/edit?usp=sharing"",""ชัยนาท!I485"")"),0)</f>
        <v>0</v>
      </c>
      <c r="J590" s="188">
        <f ca="1">IFERROR(__xludf.DUMMYFUNCTION("IMPORTRANGE(""https://docs.google.com/spreadsheets/d/1SX6NBoVAgQJ6U1MVXOaj8PK2l7WJ3RER9xtqwdhxkhw/edit?usp=sharing"",""ชัยนาท!J485"")"),0)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IFERROR(__xludf.DUMMYFUNCTION("IMPORTRANGE(""https://docs.google.com/spreadsheets/d/1SX6NBoVAgQJ6U1MVXOaj8PK2l7WJ3RER9xtqwdhxkhw/edit?usp=sharing"",""ชัยนาท!I486"")"),0)</f>
        <v>0</v>
      </c>
      <c r="J591" s="188">
        <f ca="1">IFERROR(__xludf.DUMMYFUNCTION("IMPORTRANGE(""https://docs.google.com/spreadsheets/d/1SX6NBoVAgQJ6U1MVXOaj8PK2l7WJ3RER9xtqwdhxkhw/edit?usp=sharing"",""ชัยนาท!J486"")"),2)</f>
        <v>2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IFERROR(__xludf.DUMMYFUNCTION("IMPORTRANGE(""https://docs.google.com/spreadsheets/d/1SX6NBoVAgQJ6U1MVXOaj8PK2l7WJ3RER9xtqwdhxkhw/edit?usp=sharing"",""ชัยนาท!I487"")"),0)</f>
        <v>0</v>
      </c>
      <c r="J592" s="188">
        <f ca="1">IFERROR(__xludf.DUMMYFUNCTION("IMPORTRANGE(""https://docs.google.com/spreadsheets/d/1SX6NBoVAgQJ6U1MVXOaj8PK2l7WJ3RER9xtqwdhxkhw/edit?usp=sharing"",""ชัยนาท!J487"")"),1.42)</f>
        <v>1.42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IFERROR(__xludf.DUMMYFUNCTION("IMPORTRANGE(""https://docs.google.com/spreadsheets/d/1SX6NBoVAgQJ6U1MVXOaj8PK2l7WJ3RER9xtqwdhxkhw/edit?usp=sharing"",""ชัยนาท!I488"")"),0)</f>
        <v>0</v>
      </c>
      <c r="J593" s="188">
        <f ca="1">IFERROR(__xludf.DUMMYFUNCTION("IMPORTRANGE(""https://docs.google.com/spreadsheets/d/1SX6NBoVAgQJ6U1MVXOaj8PK2l7WJ3RER9xtqwdhxkhw/edit?usp=sharing"",""ชัยนาท!J488"")"),0)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IFERROR(__xludf.DUMMYFUNCTION("IMPORTRANGE(""https://docs.google.com/spreadsheets/d/1SX6NBoVAgQJ6U1MVXOaj8PK2l7WJ3RER9xtqwdhxkhw/edit?usp=sharing"",""ชัยนาท!I489"")"),0)</f>
        <v>0</v>
      </c>
      <c r="J594" s="188">
        <f ca="1">IFERROR(__xludf.DUMMYFUNCTION("IMPORTRANGE(""https://docs.google.com/spreadsheets/d/1SX6NBoVAgQJ6U1MVXOaj8PK2l7WJ3RER9xtqwdhxkhw/edit?usp=sharing"",""ชัยนาท!J489"")"),0)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IFERROR(__xludf.DUMMYFUNCTION("IMPORTRANGE(""https://docs.google.com/spreadsheets/d/1SX6NBoVAgQJ6U1MVXOaj8PK2l7WJ3RER9xtqwdhxkhw/edit?usp=sharing"",""ชัยนาท!I490"")"),0)</f>
        <v>0</v>
      </c>
      <c r="J595" s="188">
        <f ca="1">IFERROR(__xludf.DUMMYFUNCTION("IMPORTRANGE(""https://docs.google.com/spreadsheets/d/1SX6NBoVAgQJ6U1MVXOaj8PK2l7WJ3RER9xtqwdhxkhw/edit?usp=sharing"",""ชัยนาท!J490"")"),2)</f>
        <v>2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IFERROR(__xludf.DUMMYFUNCTION("IMPORTRANGE(""https://docs.google.com/spreadsheets/d/1SX6NBoVAgQJ6U1MVXOaj8PK2l7WJ3RER9xtqwdhxkhw/edit?usp=sharing"",""ชัยนาท!I491"")"),0)</f>
        <v>0</v>
      </c>
      <c r="J596" s="241">
        <f ca="1">IFERROR(__xludf.DUMMYFUNCTION("IMPORTRANGE(""https://docs.google.com/spreadsheets/d/1SX6NBoVAgQJ6U1MVXOaj8PK2l7WJ3RER9xtqwdhxkhw/edit?usp=sharing"",""ชัยนาท!J491"")"),1.42)</f>
        <v>1.42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IFERROR(__xludf.DUMMYFUNCTION("IMPORTRANGE(""https://docs.google.com/spreadsheets/d/1SX6NBoVAgQJ6U1MVXOaj8PK2l7WJ3RER9xtqwdhxkhw/edit?usp=sharing"",""ชัยนาท!I492"")"),50)</f>
        <v>50</v>
      </c>
      <c r="J597" s="487">
        <f ca="1">IFERROR(__xludf.DUMMYFUNCTION("IMPORTRANGE(""https://docs.google.com/spreadsheets/d/1SX6NBoVAgQJ6U1MVXOaj8PK2l7WJ3RER9xtqwdhxkhw/edit?usp=sharing"",""ชัยนาท!J492"")"),0)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IFERROR(__xludf.DUMMYFUNCTION("IMPORTRANGE(""https://docs.google.com/spreadsheets/d/1SX6NBoVAgQJ6U1MVXOaj8PK2l7WJ3RER9xtqwdhxkhw/edit?usp=sharing"",""ชัยนาท!L492"")"),4550)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IFERROR(__xludf.DUMMYFUNCTION("IMPORTRANGE(""https://docs.google.com/spreadsheets/d/1SX6NBoVAgQJ6U1MVXOaj8PK2l7WJ3RER9xtqwdhxkhw/edit?usp=sharing"",""ชัยนาท!M492"")"),1740)</f>
        <v>1740</v>
      </c>
      <c r="O597" s="412">
        <f t="shared" ref="O597:O601" ca="1" si="126">+IF(L597&gt;0,N597*100/L597,0)</f>
        <v>38.241758241758241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IFERROR(__xludf.DUMMYFUNCTION("IMPORTRANGE(""https://docs.google.com/spreadsheets/d/1SX6NBoVAgQJ6U1MVXOaj8PK2l7WJ3RER9xtqwdhxkhw/edit?usp=sharing"",""ชัยนาท!L493"")"),0)</f>
        <v>0</v>
      </c>
      <c r="M598" s="164"/>
      <c r="N598" s="169">
        <f ca="1">IFERROR(__xludf.DUMMYFUNCTION("IMPORTRANGE(""https://docs.google.com/spreadsheets/d/1SX6NBoVAgQJ6U1MVXOaj8PK2l7WJ3RER9xtqwdhxkhw/edit?usp=sharing"",""ชัยนาท!M493"")"),0)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IFERROR(__xludf.DUMMYFUNCTION("IMPORTRANGE(""https://docs.google.com/spreadsheets/d/1SX6NBoVAgQJ6U1MVXOaj8PK2l7WJ3RER9xtqwdhxkhw/edit?usp=sharing"",""ชัยนาท!L494"")"),4550)</f>
        <v>4550</v>
      </c>
      <c r="M599" s="165"/>
      <c r="N599" s="169">
        <f ca="1">IFERROR(__xludf.DUMMYFUNCTION("IMPORTRANGE(""https://docs.google.com/spreadsheets/d/1SX6NBoVAgQJ6U1MVXOaj8PK2l7WJ3RER9xtqwdhxkhw/edit?usp=sharing"",""ชัยนาท!M494"")"),1740)</f>
        <v>1740</v>
      </c>
      <c r="O599" s="169">
        <f t="shared" ca="1" si="126"/>
        <v>38.241758241758241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IFERROR(__xludf.DUMMYFUNCTION("IMPORTRANGE(""https://docs.google.com/spreadsheets/d/1SX6NBoVAgQJ6U1MVXOaj8PK2l7WJ3RER9xtqwdhxkhw/edit?usp=sharing"",""ชัยนาท!L495"")"),0)</f>
        <v>0</v>
      </c>
      <c r="M600" s="169"/>
      <c r="N600" s="169">
        <f ca="1">IFERROR(__xludf.DUMMYFUNCTION("IMPORTRANGE(""https://docs.google.com/spreadsheets/d/1SX6NBoVAgQJ6U1MVXOaj8PK2l7WJ3RER9xtqwdhxkhw/edit?usp=sharing"",""ชัยนาท!M495"")"),0)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IFERROR(__xludf.DUMMYFUNCTION("IMPORTRANGE(""https://docs.google.com/spreadsheets/d/1SX6NBoVAgQJ6U1MVXOaj8PK2l7WJ3RER9xtqwdhxkhw/edit?usp=sharing"",""ชัยนาท!L496"")"),4550)</f>
        <v>4550</v>
      </c>
      <c r="M601" s="169"/>
      <c r="N601" s="169">
        <f ca="1">IFERROR(__xludf.DUMMYFUNCTION("IMPORTRANGE(""https://docs.google.com/spreadsheets/d/1SX6NBoVAgQJ6U1MVXOaj8PK2l7WJ3RER9xtqwdhxkhw/edit?usp=sharing"",""ชัยนาท!M496"")"),1740)</f>
        <v>1740</v>
      </c>
      <c r="O601" s="169">
        <f t="shared" ca="1" si="126"/>
        <v>38.241758241758241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IFERROR(__xludf.DUMMYFUNCTION("IMPORTRANGE(""https://docs.google.com/spreadsheets/d/1SX6NBoVAgQJ6U1MVXOaj8PK2l7WJ3RER9xtqwdhxkhw/edit?usp=sharing"",""ชัยนาท!M497"")"),0)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IFERROR(__xludf.DUMMYFUNCTION("IMPORTRANGE(""https://docs.google.com/spreadsheets/d/1SX6NBoVAgQJ6U1MVXOaj8PK2l7WJ3RER9xtqwdhxkhw/edit?usp=sharing"",""ชัยนาท!M498"")"),0)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IFERROR(__xludf.DUMMYFUNCTION("IMPORTRANGE(""https://docs.google.com/spreadsheets/d/1SX6NBoVAgQJ6U1MVXOaj8PK2l7WJ3RER9xtqwdhxkhw/edit?usp=sharing"",""ชัยนาท!M499"")"),0)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IFERROR(__xludf.DUMMYFUNCTION("IMPORTRANGE(""https://docs.google.com/spreadsheets/d/1SX6NBoVAgQJ6U1MVXOaj8PK2l7WJ3RER9xtqwdhxkhw/edit?usp=sharing"",""ชัยนาท!M500"")"),1740)</f>
        <v>1740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IFERROR(__xludf.DUMMYFUNCTION("IMPORTRANGE(""https://docs.google.com/spreadsheets/d/1SX6NBoVAgQJ6U1MVXOaj8PK2l7WJ3RER9xtqwdhxkhw/edit?usp=sharing"",""ชัยนาท!J502"")"),0)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IFERROR(__xludf.DUMMYFUNCTION("IMPORTRANGE(""https://docs.google.com/spreadsheets/d/1SX6NBoVAgQJ6U1MVXOaj8PK2l7WJ3RER9xtqwdhxkhw/edit?usp=sharing"",""ชัยนาท!J503"")"),1)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IFERROR(__xludf.DUMMYFUNCTION("IMPORTRANGE(""https://docs.google.com/spreadsheets/d/1SX6NBoVAgQJ6U1MVXOaj8PK2l7WJ3RER9xtqwdhxkhw/edit?usp=sharing"",""ชัยนาท!J166"")"),0)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IFERROR(__xludf.DUMMYFUNCTION("IMPORTRANGE(""https://docs.google.com/spreadsheets/d/1SX6NBoVAgQJ6U1MVXOaj8PK2l7WJ3RER9xtqwdhxkhw/edit?usp=sharing"",""ชัยนาท!J166"")"),0)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IFERROR(__xludf.DUMMYFUNCTION("IMPORTRANGE(""https://docs.google.com/spreadsheets/d/1SX6NBoVAgQJ6U1MVXOaj8PK2l7WJ3RER9xtqwdhxkhw/edit?usp=sharing"",""ชัยนาท!I506"")"),50)</f>
        <v>50</v>
      </c>
      <c r="J611" s="162">
        <f ca="1">IFERROR(__xludf.DUMMYFUNCTION("IMPORTRANGE(""https://docs.google.com/spreadsheets/d/1SX6NBoVAgQJ6U1MVXOaj8PK2l7WJ3RER9xtqwdhxkhw/edit?usp=sharing"",""ชัยนาท!J506"")"),0)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IFERROR(__xludf.DUMMYFUNCTION("IMPORTRANGE(""https://docs.google.com/spreadsheets/d/1SX6NBoVAgQJ6U1MVXOaj8PK2l7WJ3RER9xtqwdhxkhw/edit?usp=sharing"",""ชัยนาท!I507"")"),0)</f>
        <v>0</v>
      </c>
      <c r="J612" s="198">
        <f ca="1">IFERROR(__xludf.DUMMYFUNCTION("IMPORTRANGE(""https://docs.google.com/spreadsheets/d/1SX6NBoVAgQJ6U1MVXOaj8PK2l7WJ3RER9xtqwdhxkhw/edit?usp=sharing"",""ชัยนาท!J507"")"),86)</f>
        <v>86</v>
      </c>
      <c r="K612" s="163">
        <f t="shared" ca="1" si="127"/>
        <v>172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IFERROR(__xludf.DUMMYFUNCTION("IMPORTRANGE(""https://docs.google.com/spreadsheets/d/1SX6NBoVAgQJ6U1MVXOaj8PK2l7WJ3RER9xtqwdhxkhw/edit?usp=sharing"",""ชัยนาท!I508"")"),0)</f>
        <v>0</v>
      </c>
      <c r="J613" s="198">
        <f ca="1">IFERROR(__xludf.DUMMYFUNCTION("IMPORTRANGE(""https://docs.google.com/spreadsheets/d/1SX6NBoVAgQJ6U1MVXOaj8PK2l7WJ3RER9xtqwdhxkhw/edit?usp=sharing"",""ชัยนาท!J508"")"),86)</f>
        <v>86</v>
      </c>
      <c r="K613" s="163">
        <f t="shared" ca="1" si="127"/>
        <v>172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IFERROR(__xludf.DUMMYFUNCTION("IMPORTRANGE(""https://docs.google.com/spreadsheets/d/1SX6NBoVAgQJ6U1MVXOaj8PK2l7WJ3RER9xtqwdhxkhw/edit?usp=sharing"",""ชัยนาท!I509"")"),0)</f>
        <v>0</v>
      </c>
      <c r="J614" s="198">
        <f ca="1">IFERROR(__xludf.DUMMYFUNCTION("IMPORTRANGE(""https://docs.google.com/spreadsheets/d/1SX6NBoVAgQJ6U1MVXOaj8PK2l7WJ3RER9xtqwdhxkhw/edit?usp=sharing"",""ชัยนาท!J509"")"),70)</f>
        <v>70</v>
      </c>
      <c r="K614" s="163">
        <f t="shared" ca="1" si="127"/>
        <v>140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IFERROR(__xludf.DUMMYFUNCTION("IMPORTRANGE(""https://docs.google.com/spreadsheets/d/1SX6NBoVAgQJ6U1MVXOaj8PK2l7WJ3RER9xtqwdhxkhw/edit?usp=sharing"",""ชัยนาท!I510"")"),0)</f>
        <v>0</v>
      </c>
      <c r="J615" s="198">
        <f ca="1">IFERROR(__xludf.DUMMYFUNCTION("IMPORTRANGE(""https://docs.google.com/spreadsheets/d/1SX6NBoVAgQJ6U1MVXOaj8PK2l7WJ3RER9xtqwdhxkhw/edit?usp=sharing"",""ชัยนาท!J510"")"),70)</f>
        <v>70</v>
      </c>
      <c r="K615" s="163">
        <f t="shared" ca="1" si="127"/>
        <v>140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IFERROR(__xludf.DUMMYFUNCTION("IMPORTRANGE(""https://docs.google.com/spreadsheets/d/1SX6NBoVAgQJ6U1MVXOaj8PK2l7WJ3RER9xtqwdhxkhw/edit?usp=sharing"",""ชัยนาท!I511"")"),0)</f>
        <v>0</v>
      </c>
      <c r="J616" s="198">
        <f ca="1">IFERROR(__xludf.DUMMYFUNCTION("IMPORTRANGE(""https://docs.google.com/spreadsheets/d/1SX6NBoVAgQJ6U1MVXOaj8PK2l7WJ3RER9xtqwdhxkhw/edit?usp=sharing"",""ชัยนาท!J511"")"),70)</f>
        <v>70</v>
      </c>
      <c r="K616" s="163">
        <f t="shared" ca="1" si="127"/>
        <v>140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IFERROR(__xludf.DUMMYFUNCTION("IMPORTRANGE(""https://docs.google.com/spreadsheets/d/1SX6NBoVAgQJ6U1MVXOaj8PK2l7WJ3RER9xtqwdhxkhw/edit?usp=sharing"",""ชัยนาท!I512"")"),0)</f>
        <v>0</v>
      </c>
      <c r="J617" s="188">
        <f ca="1">IFERROR(__xludf.DUMMYFUNCTION("IMPORTRANGE(""https://docs.google.com/spreadsheets/d/1SX6NBoVAgQJ6U1MVXOaj8PK2l7WJ3RER9xtqwdhxkhw/edit?usp=sharing"",""ชัยนาท!J512"")"),0)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IFERROR(__xludf.DUMMYFUNCTION("IMPORTRANGE(""https://docs.google.com/spreadsheets/d/1SX6NBoVAgQJ6U1MVXOaj8PK2l7WJ3RER9xtqwdhxkhw/edit?usp=sharing"",""ชัยนาท!I513"")"),0)</f>
        <v>0</v>
      </c>
      <c r="J618" s="189">
        <f ca="1">IFERROR(__xludf.DUMMYFUNCTION("IMPORTRANGE(""https://docs.google.com/spreadsheets/d/1SX6NBoVAgQJ6U1MVXOaj8PK2l7WJ3RER9xtqwdhxkhw/edit?usp=sharing"",""ชัยนาท!J513"")"),0)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IFERROR(__xludf.DUMMYFUNCTION("IMPORTRANGE(""https://docs.google.com/spreadsheets/d/1SX6NBoVAgQJ6U1MVXOaj8PK2l7WJ3RER9xtqwdhxkhw/edit?usp=sharing"",""ชัยนาท!I514"")"),0)</f>
        <v>0</v>
      </c>
      <c r="J619" s="189">
        <f ca="1">IFERROR(__xludf.DUMMYFUNCTION("IMPORTRANGE(""https://docs.google.com/spreadsheets/d/1SX6NBoVAgQJ6U1MVXOaj8PK2l7WJ3RER9xtqwdhxkhw/edit?usp=sharing"",""ชัยนาท!J514"")"),0)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IFERROR(__xludf.DUMMYFUNCTION("IMPORTRANGE(""https://docs.google.com/spreadsheets/d/1SX6NBoVAgQJ6U1MVXOaj8PK2l7WJ3RER9xtqwdhxkhw/edit?usp=sharing"",""ชัยนาท!I515"")"),0)</f>
        <v>0</v>
      </c>
      <c r="J620" s="203">
        <f ca="1">IFERROR(__xludf.DUMMYFUNCTION("IMPORTRANGE(""https://docs.google.com/spreadsheets/d/1SX6NBoVAgQJ6U1MVXOaj8PK2l7WJ3RER9xtqwdhxkhw/edit?usp=sharing"",""ชัยนาท!J515"")"),0)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IFERROR(__xludf.DUMMYFUNCTION("IMPORTRANGE(""https://docs.google.com/spreadsheets/d/1SX6NBoVAgQJ6U1MVXOaj8PK2l7WJ3RER9xtqwdhxkhw/edit?usp=sharing"",""ชัยนาท!I516"")"),0)</f>
        <v>0</v>
      </c>
      <c r="J621" s="203">
        <f ca="1">IFERROR(__xludf.DUMMYFUNCTION("IMPORTRANGE(""https://docs.google.com/spreadsheets/d/1SX6NBoVAgQJ6U1MVXOaj8PK2l7WJ3RER9xtqwdhxkhw/edit?usp=sharing"",""ชัยนาท!J516"")"),0)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IFERROR(__xludf.DUMMYFUNCTION("IMPORTRANGE(""https://docs.google.com/spreadsheets/d/1SX6NBoVAgQJ6U1MVXOaj8PK2l7WJ3RER9xtqwdhxkhw/edit?usp=sharing"",""ชัยนาท!I517"")"),0)</f>
        <v>0</v>
      </c>
      <c r="J622" s="189">
        <f ca="1">IFERROR(__xludf.DUMMYFUNCTION("IMPORTRANGE(""https://docs.google.com/spreadsheets/d/1SX6NBoVAgQJ6U1MVXOaj8PK2l7WJ3RER9xtqwdhxkhw/edit?usp=sharing"",""ชัยนาท!J517"")"),0)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IFERROR(__xludf.DUMMYFUNCTION("IMPORTRANGE(""https://docs.google.com/spreadsheets/d/1SX6NBoVAgQJ6U1MVXOaj8PK2l7WJ3RER9xtqwdhxkhw/edit?usp=sharing"",""ชัยนาท!I518"")"),0)</f>
        <v>0</v>
      </c>
      <c r="J623" s="189">
        <f ca="1">IFERROR(__xludf.DUMMYFUNCTION("IMPORTRANGE(""https://docs.google.com/spreadsheets/d/1SX6NBoVAgQJ6U1MVXOaj8PK2l7WJ3RER9xtqwdhxkhw/edit?usp=sharing"",""ชัยนาท!J518"")"),0)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IFERROR(__xludf.DUMMYFUNCTION("IMPORTRANGE(""https://docs.google.com/spreadsheets/d/1SX6NBoVAgQJ6U1MVXOaj8PK2l7WJ3RER9xtqwdhxkhw/edit?usp=sharing"",""ชัยนาท!I519"")"),0)</f>
        <v>0</v>
      </c>
      <c r="J624" s="188">
        <f ca="1">IFERROR(__xludf.DUMMYFUNCTION("IMPORTRANGE(""https://docs.google.com/spreadsheets/d/1SX6NBoVAgQJ6U1MVXOaj8PK2l7WJ3RER9xtqwdhxkhw/edit?usp=sharing"",""ชัยนาท!J519"")"),0)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IFERROR(__xludf.DUMMYFUNCTION("IMPORTRANGE(""https://docs.google.com/spreadsheets/d/1SX6NBoVAgQJ6U1MVXOaj8PK2l7WJ3RER9xtqwdhxkhw/edit?usp=sharing"",""ชัยนาท!I520"")"),0)</f>
        <v>0</v>
      </c>
      <c r="J625" s="189">
        <f ca="1">IFERROR(__xludf.DUMMYFUNCTION("IMPORTRANGE(""https://docs.google.com/spreadsheets/d/1SX6NBoVAgQJ6U1MVXOaj8PK2l7WJ3RER9xtqwdhxkhw/edit?usp=sharing"",""ชัยนาท!J520"")"),0)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IFERROR(__xludf.DUMMYFUNCTION("IMPORTRANGE(""https://docs.google.com/spreadsheets/d/1SX6NBoVAgQJ6U1MVXOaj8PK2l7WJ3RER9xtqwdhxkhw/edit?usp=sharing"",""ชัยนาท!I521"")"),0)</f>
        <v>0</v>
      </c>
      <c r="J626" s="189">
        <f ca="1">IFERROR(__xludf.DUMMYFUNCTION("IMPORTRANGE(""https://docs.google.com/spreadsheets/d/1SX6NBoVAgQJ6U1MVXOaj8PK2l7WJ3RER9xtqwdhxkhw/edit?usp=sharing"",""ชัยนาท!J521"")"),0)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IFERROR(__xludf.DUMMYFUNCTION("IMPORTRANGE(""https://docs.google.com/spreadsheets/d/1SX6NBoVAgQJ6U1MVXOaj8PK2l7WJ3RER9xtqwdhxkhw/edit?usp=sharing"",""ชัยนาท!I523"")"),2596068.99)</f>
        <v>2596068.9900000002</v>
      </c>
      <c r="J628" s="341">
        <f ca="1">IFERROR(__xludf.DUMMYFUNCTION("IMPORTRANGE(""https://docs.google.com/spreadsheets/d/1SX6NBoVAgQJ6U1MVXOaj8PK2l7WJ3RER9xtqwdhxkhw/edit?usp=sharing"",""ชัยนาท!J523"")"),1050607.71)</f>
        <v>1050607.71</v>
      </c>
      <c r="K628" s="342">
        <f t="shared" ref="K628:K635" ca="1" si="129">IF(I628&gt;0,J628*100/I628,0)</f>
        <v>40.469175281817144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IFERROR(__xludf.DUMMYFUNCTION("IMPORTRANGE(""https://docs.google.com/spreadsheets/d/1SX6NBoVAgQJ6U1MVXOaj8PK2l7WJ3RER9xtqwdhxkhw/edit?usp=sharing"",""ชัยนาท!I524"")"),200)</f>
        <v>200</v>
      </c>
      <c r="J629" s="341">
        <f ca="1">IFERROR(__xludf.DUMMYFUNCTION("IMPORTRANGE(""https://docs.google.com/spreadsheets/d/1SX6NBoVAgQJ6U1MVXOaj8PK2l7WJ3RER9xtqwdhxkhw/edit?usp=sharing"",""ชัยนาท!J524"")"),101)</f>
        <v>101</v>
      </c>
      <c r="K629" s="342">
        <f t="shared" ca="1" si="129"/>
        <v>50.5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IFERROR(__xludf.DUMMYFUNCTION("IMPORTRANGE(""https://docs.google.com/spreadsheets/d/1SX6NBoVAgQJ6U1MVXOaj8PK2l7WJ3RER9xtqwdhxkhw/edit?usp=sharing"",""ชัยนาท!I525"")"),6474868.13)</f>
        <v>6474868.1299999999</v>
      </c>
      <c r="J630" s="341">
        <f ca="1">IFERROR(__xludf.DUMMYFUNCTION("IMPORTRANGE(""https://docs.google.com/spreadsheets/d/1SX6NBoVAgQJ6U1MVXOaj8PK2l7WJ3RER9xtqwdhxkhw/edit?usp=sharing"",""ชัยนาท!J525"")"),574094.53)</f>
        <v>574094.53</v>
      </c>
      <c r="K630" s="342">
        <f t="shared" ca="1" si="129"/>
        <v>8.8665053630984136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IFERROR(__xludf.DUMMYFUNCTION("IMPORTRANGE(""https://docs.google.com/spreadsheets/d/1SX6NBoVAgQJ6U1MVXOaj8PK2l7WJ3RER9xtqwdhxkhw/edit?usp=sharing"",""ชัยนาท!I526"")"),297)</f>
        <v>297</v>
      </c>
      <c r="J631" s="341">
        <f ca="1">IFERROR(__xludf.DUMMYFUNCTION("IMPORTRANGE(""https://docs.google.com/spreadsheets/d/1SX6NBoVAgQJ6U1MVXOaj8PK2l7WJ3RER9xtqwdhxkhw/edit?usp=sharing"",""ชัยนาท!J526"")"),108)</f>
        <v>108</v>
      </c>
      <c r="K631" s="342">
        <f t="shared" ca="1" si="129"/>
        <v>36.363636363636367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IFERROR(__xludf.DUMMYFUNCTION("IMPORTRANGE(""https://docs.google.com/spreadsheets/d/1SX6NBoVAgQJ6U1MVXOaj8PK2l7WJ3RER9xtqwdhxkhw/edit?usp=sharing"",""ชัยนาท!I527"")"),12477608.39)</f>
        <v>12477608.390000001</v>
      </c>
      <c r="J632" s="341">
        <f ca="1">IFERROR(__xludf.DUMMYFUNCTION("IMPORTRANGE(""https://docs.google.com/spreadsheets/d/1SX6NBoVAgQJ6U1MVXOaj8PK2l7WJ3RER9xtqwdhxkhw/edit?usp=sharing"",""ชัยนาท!J527"")"),1495951.89)</f>
        <v>1495951.89</v>
      </c>
      <c r="K632" s="342">
        <f t="shared" ca="1" si="129"/>
        <v>11.98909152493445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IFERROR(__xludf.DUMMYFUNCTION("IMPORTRANGE(""https://docs.google.com/spreadsheets/d/1SX6NBoVAgQJ6U1MVXOaj8PK2l7WJ3RER9xtqwdhxkhw/edit?usp=sharing"",""ชัยนาท!I528"")"),351)</f>
        <v>351</v>
      </c>
      <c r="J633" s="341">
        <f ca="1">IFERROR(__xludf.DUMMYFUNCTION("IMPORTRANGE(""https://docs.google.com/spreadsheets/d/1SX6NBoVAgQJ6U1MVXOaj8PK2l7WJ3RER9xtqwdhxkhw/edit?usp=sharing"",""ชัยนาท!J528"")"),135)</f>
        <v>135</v>
      </c>
      <c r="K633" s="342">
        <f t="shared" ca="1" si="129"/>
        <v>38.46153846153846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IFERROR(__xludf.DUMMYFUNCTION("IMPORTRANGE(""https://docs.google.com/spreadsheets/d/1SX6NBoVAgQJ6U1MVXOaj8PK2l7WJ3RER9xtqwdhxkhw/edit?usp=sharing"",""ชัยนาท!I529"")"),4700000)</f>
        <v>4700000</v>
      </c>
      <c r="J634" s="341">
        <f ca="1">IFERROR(__xludf.DUMMYFUNCTION("IMPORTRANGE(""https://docs.google.com/spreadsheets/d/1SX6NBoVAgQJ6U1MVXOaj8PK2l7WJ3RER9xtqwdhxkhw/edit?usp=sharing"",""ชัยนาท!J529"")"),950000)</f>
        <v>950000</v>
      </c>
      <c r="K634" s="342">
        <f t="shared" ca="1" si="129"/>
        <v>20.212765957446809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IFERROR(__xludf.DUMMYFUNCTION("IMPORTRANGE(""https://docs.google.com/spreadsheets/d/1SX6NBoVAgQJ6U1MVXOaj8PK2l7WJ3RER9xtqwdhxkhw/edit?usp=sharing"",""ชัยนาท!I530"")"),200)</f>
        <v>200</v>
      </c>
      <c r="J635" s="504">
        <f ca="1">IFERROR(__xludf.DUMMYFUNCTION("IMPORTRANGE(""https://docs.google.com/spreadsheets/d/1SX6NBoVAgQJ6U1MVXOaj8PK2l7WJ3RER9xtqwdhxkhw/edit?usp=sharing"",""ชัยนาท!J530"")"),26)</f>
        <v>26</v>
      </c>
      <c r="K635" s="486">
        <f t="shared" ca="1" si="129"/>
        <v>13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G555" sqref="G555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248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2779582</v>
      </c>
      <c r="M8" s="23">
        <f t="shared" ca="1" si="0"/>
        <v>1695468</v>
      </c>
      <c r="N8" s="23">
        <f t="shared" ca="1" si="0"/>
        <v>1424460.08</v>
      </c>
      <c r="O8" s="22">
        <f t="shared" ref="O8:O16" ca="1" si="1">IF(L8&gt;0,N8*100/L8,0)</f>
        <v>51.247276748806115</v>
      </c>
      <c r="P8" s="22">
        <f t="shared" ref="P8:P16" ca="1" si="2">IF(M8&gt;0,N8*100/M8,0)</f>
        <v>84.015745505075884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2779582</v>
      </c>
      <c r="M10" s="30">
        <f t="shared" ca="1" si="4"/>
        <v>1695468</v>
      </c>
      <c r="N10" s="30">
        <f t="shared" ca="1" si="4"/>
        <v>1424460.08</v>
      </c>
      <c r="O10" s="29">
        <f t="shared" ca="1" si="1"/>
        <v>51.247276748806115</v>
      </c>
      <c r="P10" s="29">
        <f t="shared" ca="1" si="2"/>
        <v>84.015745505075884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2491582</v>
      </c>
      <c r="M12" s="38">
        <f t="shared" ca="1" si="6"/>
        <v>1407468</v>
      </c>
      <c r="N12" s="38">
        <f t="shared" ca="1" si="6"/>
        <v>1136460.08</v>
      </c>
      <c r="O12" s="38">
        <f t="shared" ca="1" si="1"/>
        <v>45.611987885608421</v>
      </c>
      <c r="P12" s="38">
        <f t="shared" ca="1" si="2"/>
        <v>80.745003083551453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1477700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1013882</v>
      </c>
      <c r="M14" s="38">
        <f t="shared" si="8"/>
        <v>0</v>
      </c>
      <c r="N14" s="38">
        <f t="shared" ca="1" si="8"/>
        <v>271366</v>
      </c>
      <c r="O14" s="38">
        <f t="shared" ca="1" si="1"/>
        <v>26.765047609090605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288000</v>
      </c>
      <c r="M16" s="38">
        <f t="shared" ca="1" si="10"/>
        <v>288000</v>
      </c>
      <c r="N16" s="38">
        <f t="shared" ca="1" si="10"/>
        <v>288000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2151240</v>
      </c>
      <c r="M18" s="23">
        <f t="shared" ca="1" si="11"/>
        <v>1695468</v>
      </c>
      <c r="N18" s="23">
        <f t="shared" ca="1" si="11"/>
        <v>1153094.08</v>
      </c>
      <c r="O18" s="22">
        <f t="shared" ref="O18:O20" ca="1" si="12">IF(L18&gt;0,N18*100/L18,0)</f>
        <v>53.601368513043639</v>
      </c>
      <c r="P18" s="22">
        <f t="shared" ref="P18:P26" ca="1" si="13">IF(M18&gt;0,N18*100/M18,0)</f>
        <v>68.010371177751509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2151240</v>
      </c>
      <c r="M20" s="30">
        <f t="shared" ca="1" si="15"/>
        <v>1695468</v>
      </c>
      <c r="N20" s="30">
        <f t="shared" ca="1" si="15"/>
        <v>1153094.08</v>
      </c>
      <c r="O20" s="29">
        <f t="shared" ca="1" si="12"/>
        <v>53.601368513043639</v>
      </c>
      <c r="P20" s="29">
        <f t="shared" ca="1" si="13"/>
        <v>68.010371177751509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1863240</v>
      </c>
      <c r="M22" s="41">
        <f t="shared" ca="1" si="18"/>
        <v>1407468</v>
      </c>
      <c r="N22" s="38">
        <f t="shared" ca="1" si="18"/>
        <v>865094.08000000007</v>
      </c>
      <c r="O22" s="38">
        <f t="shared" ca="1" si="17"/>
        <v>46.42955711556214</v>
      </c>
      <c r="P22" s="38">
        <f t="shared" ca="1" si="13"/>
        <v>61.464564736107675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1477700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385540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288000</v>
      </c>
      <c r="M26" s="49">
        <f t="shared" ca="1" si="22"/>
        <v>288000</v>
      </c>
      <c r="N26" s="49">
        <f t="shared" ca="1" si="22"/>
        <v>288000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628342</v>
      </c>
      <c r="M28" s="23">
        <f t="shared" si="23"/>
        <v>0</v>
      </c>
      <c r="N28" s="23">
        <f t="shared" ca="1" si="23"/>
        <v>271366</v>
      </c>
      <c r="O28" s="22">
        <f t="shared" ref="O28:O30" ca="1" si="24">IF(L28&gt;0,N28*100/L28,0)</f>
        <v>43.187627120262533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628342</v>
      </c>
      <c r="M30" s="30">
        <f t="shared" si="27"/>
        <v>0</v>
      </c>
      <c r="N30" s="30">
        <f t="shared" ca="1" si="27"/>
        <v>271366</v>
      </c>
      <c r="O30" s="29">
        <f t="shared" ca="1" si="24"/>
        <v>43.187627120262533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628342</v>
      </c>
      <c r="M32" s="38">
        <f t="shared" si="30"/>
        <v>0</v>
      </c>
      <c r="N32" s="38">
        <f t="shared" ca="1" si="30"/>
        <v>271366</v>
      </c>
      <c r="O32" s="38">
        <f t="shared" ca="1" si="29"/>
        <v>43.187627120262533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628342</v>
      </c>
      <c r="M34" s="38">
        <f t="shared" si="32"/>
        <v>0</v>
      </c>
      <c r="N34" s="38">
        <f t="shared" ca="1" si="32"/>
        <v>271366</v>
      </c>
      <c r="O34" s="38">
        <f t="shared" ca="1" si="29"/>
        <v>43.187627120262533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2151240</v>
      </c>
      <c r="M37" s="54">
        <f t="shared" ca="1" si="33"/>
        <v>1695468</v>
      </c>
      <c r="N37" s="54">
        <f t="shared" ca="1" si="33"/>
        <v>1153094.08</v>
      </c>
      <c r="O37" s="55">
        <f t="shared" ca="1" si="29"/>
        <v>53.601368513043639</v>
      </c>
      <c r="P37" s="55">
        <f t="shared" ca="1" si="25"/>
        <v>68.010371177751509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917900</v>
      </c>
      <c r="M41" s="78">
        <f t="shared" ca="1" si="34"/>
        <v>760500</v>
      </c>
      <c r="N41" s="78">
        <f t="shared" ca="1" si="34"/>
        <v>585999.08000000007</v>
      </c>
      <c r="O41" s="77">
        <f t="shared" ref="O41:O43" ca="1" si="35">IF(L41&gt;0,N41*100/L41,0)</f>
        <v>63.841276827541137</v>
      </c>
      <c r="P41" s="77">
        <f t="shared" ref="P41:P43" ca="1" si="36">IF(M41&gt;0,N41*100/M41,0)</f>
        <v>77.054448389217626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917900</v>
      </c>
      <c r="M43" s="78">
        <f t="shared" ca="1" si="38"/>
        <v>760500</v>
      </c>
      <c r="N43" s="78">
        <f t="shared" ca="1" si="38"/>
        <v>585999.08000000007</v>
      </c>
      <c r="O43" s="77">
        <f t="shared" ca="1" si="35"/>
        <v>63.841276827541137</v>
      </c>
      <c r="P43" s="77">
        <f t="shared" ca="1" si="36"/>
        <v>77.054448389217626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629900</v>
      </c>
      <c r="M45" s="49">
        <f ca="1">IFERROR(__xludf.DUMMYFUNCTION("IMPORTRANGE(""https://docs.google.com/spreadsheets/d/1Yj_ptqi66GCucihVvJfMjLAmec39IyEx_6qawtMGysU/edit?usp=sharing"",""สบก!Q64"")"),472500)</f>
        <v>472500</v>
      </c>
      <c r="N45" s="49">
        <f ca="1">IFERROR(__xludf.DUMMYFUNCTION("IMPORTRANGE(""https://docs.google.com/spreadsheets/d/1Yj_ptqi66GCucihVvJfMjLAmec39IyEx_6qawtMGysU/edit?usp=sharing"",""สบก!R64"")"),297999.08)</f>
        <v>297999.08</v>
      </c>
      <c r="O45" s="38">
        <f ca="1">IF(L45&gt;0,N45*100/L45,0)</f>
        <v>47.308950627083661</v>
      </c>
      <c r="P45" s="38">
        <f ca="1">IF(M45&gt;0,N45*100/M45,0)</f>
        <v>63.068588359788357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IFERROR(__xludf.DUMMYFUNCTION("IMPORTRANGE(""https://docs.google.com/spreadsheets/d/1Yj_ptqi66GCucihVvJfMjLAmec39IyEx_6qawtMGysU/edit?usp=sharing"",""สบก!M64"")"),629900)</f>
        <v>629900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IFERROR(__xludf.DUMMYFUNCTION("IMPORTRANGE(""https://docs.google.com/spreadsheets/d/1Yj_ptqi66GCucihVvJfMjLAmec39IyEx_6qawtMGysU/edit?usp=sharing"",""สบก!N64"")"),0)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IFERROR(__xludf.DUMMYFUNCTION("IMPORTRANGE(""https://docs.google.com/spreadsheets/d/1Yj_ptqi66GCucihVvJfMjLAmec39IyEx_6qawtMGysU/edit?usp=sharing"",""สบก!O64"")"),288000)</f>
        <v>288000</v>
      </c>
      <c r="M49" s="49">
        <f ca="1">L49</f>
        <v>288000</v>
      </c>
      <c r="N49" s="49">
        <f ca="1">IFERROR(__xludf.DUMMYFUNCTION("IMPORTRANGE(""https://docs.google.com/spreadsheets/d/1Yj_ptqi66GCucihVvJfMjLAmec39IyEx_6qawtMGysU/edit?usp=sharing"",""สบก!S64"")"),288000)</f>
        <v>288000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354000</v>
      </c>
      <c r="M53" s="121">
        <f t="shared" ca="1" si="39"/>
        <v>279913</v>
      </c>
      <c r="N53" s="121">
        <f t="shared" ca="1" si="39"/>
        <v>138251</v>
      </c>
      <c r="O53" s="120">
        <f t="shared" ref="O53:O55" ca="1" si="40">IF(L53&gt;0,N53*100/L53,0)</f>
        <v>39.053954802259888</v>
      </c>
      <c r="P53" s="120">
        <f t="shared" ref="P53:P55" ca="1" si="41">IF(M53&gt;0,N53*100/M53,0)</f>
        <v>49.390703540028511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354000</v>
      </c>
      <c r="M55" s="121">
        <f t="shared" ca="1" si="43"/>
        <v>279913</v>
      </c>
      <c r="N55" s="121">
        <f t="shared" ca="1" si="43"/>
        <v>138251</v>
      </c>
      <c r="O55" s="120">
        <f t="shared" ca="1" si="40"/>
        <v>39.053954802259888</v>
      </c>
      <c r="P55" s="120">
        <f t="shared" ca="1" si="41"/>
        <v>49.390703540028511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354000</v>
      </c>
      <c r="M57" s="49">
        <f ca="1">IFERROR(__xludf.DUMMYFUNCTION("IMPORTRANGE(""https://docs.google.com/spreadsheets/d/1Yj_ptqi66GCucihVvJfMjLAmec39IyEx_6qawtMGysU/edit?usp=sharing"",""สบก!Z64"")"),279913)</f>
        <v>279913</v>
      </c>
      <c r="N57" s="49">
        <f ca="1">IFERROR(__xludf.DUMMYFUNCTION("IMPORTRANGE(""https://docs.google.com/spreadsheets/d/1Yj_ptqi66GCucihVvJfMjLAmec39IyEx_6qawtMGysU/edit?usp=sharing"",""สบก!AA64"")"),138251)</f>
        <v>138251</v>
      </c>
      <c r="O57" s="38">
        <f ca="1">IF(L57&gt;0,N57*100/L57,0)</f>
        <v>39.053954802259888</v>
      </c>
      <c r="P57" s="38">
        <f ca="1">IF(M57&gt;0,N57*100/M57,0)</f>
        <v>49.390703540028511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IFERROR(__xludf.DUMMYFUNCTION("IMPORTRANGE(""https://docs.google.com/spreadsheets/d/1Yj_ptqi66GCucihVvJfMjLAmec39IyEx_6qawtMGysU/edit?usp=sharing"",""สบก!V64"")"),354000)</f>
        <v>354000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IFERROR(__xludf.DUMMYFUNCTION("IMPORTRANGE(""https://docs.google.com/spreadsheets/d/1Yj_ptqi66GCucihVvJfMjLAmec39IyEx_6qawtMGysU/edit?usp=sharing"",""สบก!W64"")"),0)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IFERROR(__xludf.DUMMYFUNCTION("IMPORTRANGE(""https://docs.google.com/spreadsheets/d/1Yj_ptqi66GCucihVvJfMjLAmec39IyEx_6qawtMGysU/edit?usp=sharing"",""สบก!X64"")"),0)</f>
        <v>0</v>
      </c>
      <c r="M61" s="49"/>
      <c r="N61" s="49">
        <f ca="1">IFERROR(__xludf.DUMMYFUNCTION("IMPORTRANGE(""https://docs.google.com/spreadsheets/d/1Yj_ptqi66GCucihVvJfMjLAmec39IyEx_6qawtMGysU/edit?usp=sharing"",""สบก!AB64"")"),0)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IFERROR(__xludf.DUMMYFUNCTION("IMPORTRANGE(""https://docs.google.com/spreadsheets/d/1SX6NBoVAgQJ6U1MVXOaj8PK2l7WJ3RER9xtqwdhxkhw/edit?usp=sharing"",""ตราด!I9"")"),0)</f>
        <v>0</v>
      </c>
      <c r="J64" s="142">
        <f ca="1">IFERROR(__xludf.DUMMYFUNCTION("IMPORTRANGE(""https://docs.google.com/spreadsheets/d/1SX6NBoVAgQJ6U1MVXOaj8PK2l7WJ3RER9xtqwdhxkhw/edit?usp=sharing"",""ตราด!J9"")"),0)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IFERROR(__xludf.DUMMYFUNCTION("IMPORTRANGE(""https://docs.google.com/spreadsheets/d/1SX6NBoVAgQJ6U1MVXOaj8PK2l7WJ3RER9xtqwdhxkhw/edit?usp=sharing"",""ตราด!I10"")"),0)</f>
        <v>0</v>
      </c>
      <c r="J65" s="142">
        <f ca="1">IFERROR(__xludf.DUMMYFUNCTION("IMPORTRANGE(""https://docs.google.com/spreadsheets/d/1SX6NBoVAgQJ6U1MVXOaj8PK2l7WJ3RER9xtqwdhxkhw/edit?usp=sharing"",""ตราด!J10"")"),0)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IFERROR(__xludf.DUMMYFUNCTION("IMPORTRANGE(""https://docs.google.com/spreadsheets/d/1Yj_ptqi66GCucihVvJfMjLAmec39IyEx_6qawtMGysU/edit?usp=sharing"",""สบก!AI64"")"),0)</f>
        <v>0</v>
      </c>
      <c r="N70" s="169">
        <f ca="1">IFERROR(__xludf.DUMMYFUNCTION("IMPORTRANGE(""https://docs.google.com/spreadsheets/d/1Yj_ptqi66GCucihVvJfMjLAmec39IyEx_6qawtMGysU/edit?usp=sharing"",""สบก!AJ64"")"),0)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IFERROR(__xludf.DUMMYFUNCTION("IMPORTRANGE(""https://docs.google.com/spreadsheets/d/1Yj_ptqi66GCucihVvJfMjLAmec39IyEx_6qawtMGysU/edit?usp=sharing"",""สบก!AE64"")"),0)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IFERROR(__xludf.DUMMYFUNCTION("IMPORTRANGE(""https://docs.google.com/spreadsheets/d/1Yj_ptqi66GCucihVvJfMjLAmec39IyEx_6qawtMGysU/edit?usp=sharing"",""สบก!AF64"")"),0)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IFERROR(__xludf.DUMMYFUNCTION("IMPORTRANGE(""https://docs.google.com/spreadsheets/d/1Yj_ptqi66GCucihVvJfMjLAmec39IyEx_6qawtMGysU/edit?usp=sharing"",""สบก!AG64"")"),0)</f>
        <v>0</v>
      </c>
      <c r="M74" s="49"/>
      <c r="N74" s="49">
        <f ca="1">IFERROR(__xludf.DUMMYFUNCTION("IMPORTRANGE(""https://docs.google.com/spreadsheets/d/1Yj_ptqi66GCucihVvJfMjLAmec39IyEx_6qawtMGysU/edit?usp=sharing"",""สบก!AK64"")"),0)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IFERROR(__xludf.DUMMYFUNCTION("IMPORTRANGE(""https://docs.google.com/spreadsheets/d/1SX6NBoVAgQJ6U1MVXOaj8PK2l7WJ3RER9xtqwdhxkhw/edit?usp=sharing"",""ตราด!J16"")"),0)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IFERROR(__xludf.DUMMYFUNCTION("IMPORTRANGE(""https://docs.google.com/spreadsheets/d/1SX6NBoVAgQJ6U1MVXOaj8PK2l7WJ3RER9xtqwdhxkhw/edit?usp=sharing"",""ตราด!J17"")"),0)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IFERROR(__xludf.DUMMYFUNCTION("IMPORTRANGE(""https://docs.google.com/spreadsheets/d/1SX6NBoVAgQJ6U1MVXOaj8PK2l7WJ3RER9xtqwdhxkhw/edit?usp=sharing"",""ตราด!J18"")"),0)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IFERROR(__xludf.DUMMYFUNCTION("IMPORTRANGE(""https://docs.google.com/spreadsheets/d/1SX6NBoVAgQJ6U1MVXOaj8PK2l7WJ3RER9xtqwdhxkhw/edit?usp=sharing"",""ตราด!J19"")"),0)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IFERROR(__xludf.DUMMYFUNCTION("IMPORTRANGE(""https://docs.google.com/spreadsheets/d/1SX6NBoVAgQJ6U1MVXOaj8PK2l7WJ3RER9xtqwdhxkhw/edit?usp=sharing"",""ตราด!I20"")"),0)</f>
        <v>0</v>
      </c>
      <c r="J80" s="201">
        <f ca="1">IFERROR(__xludf.DUMMYFUNCTION("IMPORTRANGE(""https://docs.google.com/spreadsheets/d/1SX6NBoVAgQJ6U1MVXOaj8PK2l7WJ3RER9xtqwdhxkhw/edit?usp=sharing"",""ตราด!J20"")"),0)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IFERROR(__xludf.DUMMYFUNCTION("IMPORTRANGE(""https://docs.google.com/spreadsheets/d/1SX6NBoVAgQJ6U1MVXOaj8PK2l7WJ3RER9xtqwdhxkhw/edit?usp=sharing"",""ตราด!I21"")"),0)</f>
        <v>0</v>
      </c>
      <c r="J81" s="201">
        <f ca="1">IFERROR(__xludf.DUMMYFUNCTION("IMPORTRANGE(""https://docs.google.com/spreadsheets/d/1SX6NBoVAgQJ6U1MVXOaj8PK2l7WJ3RER9xtqwdhxkhw/edit?usp=sharing"",""ตราด!J21"")"),0)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IFERROR(__xludf.DUMMYFUNCTION("IMPORTRANGE(""https://docs.google.com/spreadsheets/d/1SX6NBoVAgQJ6U1MVXOaj8PK2l7WJ3RER9xtqwdhxkhw/edit?usp=sharing"",""ตราด!I22"")"),0)</f>
        <v>0</v>
      </c>
      <c r="J82" s="204">
        <f ca="1">IFERROR(__xludf.DUMMYFUNCTION("IMPORTRANGE(""https://docs.google.com/spreadsheets/d/1SX6NBoVAgQJ6U1MVXOaj8PK2l7WJ3RER9xtqwdhxkhw/edit?usp=sharing"",""ตราด!J22"")"),0)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IFERROR(__xludf.DUMMYFUNCTION("IMPORTRANGE(""https://docs.google.com/spreadsheets/d/1SX6NBoVAgQJ6U1MVXOaj8PK2l7WJ3RER9xtqwdhxkhw/edit?usp=sharing"",""ตราด!I23"")"),0)</f>
        <v>0</v>
      </c>
      <c r="J83" s="204">
        <f ca="1">IFERROR(__xludf.DUMMYFUNCTION("IMPORTRANGE(""https://docs.google.com/spreadsheets/d/1SX6NBoVAgQJ6U1MVXOaj8PK2l7WJ3RER9xtqwdhxkhw/edit?usp=sharing"",""ตราด!J23"")"),0)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IFERROR(__xludf.DUMMYFUNCTION("IMPORTRANGE(""https://docs.google.com/spreadsheets/d/1SX6NBoVAgQJ6U1MVXOaj8PK2l7WJ3RER9xtqwdhxkhw/edit?usp=sharing"",""ตราด!I24"")"),0)</f>
        <v>0</v>
      </c>
      <c r="J84" s="189">
        <f ca="1">IFERROR(__xludf.DUMMYFUNCTION("IMPORTRANGE(""https://docs.google.com/spreadsheets/d/1SX6NBoVAgQJ6U1MVXOaj8PK2l7WJ3RER9xtqwdhxkhw/edit?usp=sharing"",""ตราด!J24"")"),0)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IFERROR(__xludf.DUMMYFUNCTION("IMPORTRANGE(""https://docs.google.com/spreadsheets/d/1SX6NBoVAgQJ6U1MVXOaj8PK2l7WJ3RER9xtqwdhxkhw/edit?usp=sharing"",""ตราด!I25"")"),0)</f>
        <v>0</v>
      </c>
      <c r="J85" s="189">
        <f ca="1">IFERROR(__xludf.DUMMYFUNCTION("IMPORTRANGE(""https://docs.google.com/spreadsheets/d/1SX6NBoVAgQJ6U1MVXOaj8PK2l7WJ3RER9xtqwdhxkhw/edit?usp=sharing"",""ตราด!J25"")"),0)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IFERROR(__xludf.DUMMYFUNCTION("IMPORTRANGE(""https://docs.google.com/spreadsheets/d/1SX6NBoVAgQJ6U1MVXOaj8PK2l7WJ3RER9xtqwdhxkhw/edit?usp=sharing"",""ตราด!I26"")"),0)</f>
        <v>0</v>
      </c>
      <c r="J86" s="204">
        <f ca="1">IFERROR(__xludf.DUMMYFUNCTION("IMPORTRANGE(""https://docs.google.com/spreadsheets/d/1SX6NBoVAgQJ6U1MVXOaj8PK2l7WJ3RER9xtqwdhxkhw/edit?usp=sharing"",""ตราด!J26"")"),0)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IFERROR(__xludf.DUMMYFUNCTION("IMPORTRANGE(""https://docs.google.com/spreadsheets/d/1SX6NBoVAgQJ6U1MVXOaj8PK2l7WJ3RER9xtqwdhxkhw/edit?usp=sharing"",""ตราด!I27"")"),0)</f>
        <v>0</v>
      </c>
      <c r="J87" s="204">
        <f ca="1">IFERROR(__xludf.DUMMYFUNCTION("IMPORTRANGE(""https://docs.google.com/spreadsheets/d/1SX6NBoVAgQJ6U1MVXOaj8PK2l7WJ3RER9xtqwdhxkhw/edit?usp=sharing"",""ตราด!J27"")"),0)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IFERROR(__xludf.DUMMYFUNCTION("IMPORTRANGE(""https://docs.google.com/spreadsheets/d/1SX6NBoVAgQJ6U1MVXOaj8PK2l7WJ3RER9xtqwdhxkhw/edit?usp=sharing"",""ตราด!I28"")"),0)</f>
        <v>0</v>
      </c>
      <c r="J88" s="204">
        <f ca="1">IFERROR(__xludf.DUMMYFUNCTION("IMPORTRANGE(""https://docs.google.com/spreadsheets/d/1SX6NBoVAgQJ6U1MVXOaj8PK2l7WJ3RER9xtqwdhxkhw/edit?usp=sharing"",""ตราด!J28"")"),0)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IFERROR(__xludf.DUMMYFUNCTION("IMPORTRANGE(""https://docs.google.com/spreadsheets/d/1SX6NBoVAgQJ6U1MVXOaj8PK2l7WJ3RER9xtqwdhxkhw/edit?usp=sharing"",""ตราด!J29"")"),0)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IFERROR(__xludf.DUMMYFUNCTION("IMPORTRANGE(""https://docs.google.com/spreadsheets/d/1SX6NBoVAgQJ6U1MVXOaj8PK2l7WJ3RER9xtqwdhxkhw/edit?usp=sharing"",""ตราด!J30"")"),0)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IFERROR(__xludf.DUMMYFUNCTION("IMPORTRANGE(""https://docs.google.com/spreadsheets/d/1SX6NBoVAgQJ6U1MVXOaj8PK2l7WJ3RER9xtqwdhxkhw/edit?usp=sharing"",""ตราด!I32"")"),0)</f>
        <v>0</v>
      </c>
      <c r="J92" s="142">
        <f ca="1">IFERROR(__xludf.DUMMYFUNCTION("IMPORTRANGE(""https://docs.google.com/spreadsheets/d/1SX6NBoVAgQJ6U1MVXOaj8PK2l7WJ3RER9xtqwdhxkhw/edit?usp=sharing"",""ตราด!J32"")"),0)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IFERROR(__xludf.DUMMYFUNCTION("IMPORTRANGE(""https://docs.google.com/spreadsheets/d/1SX6NBoVAgQJ6U1MVXOaj8PK2l7WJ3RER9xtqwdhxkhw/edit?usp=sharing"",""ตราด!I33"")"),0)</f>
        <v>0</v>
      </c>
      <c r="J93" s="142">
        <f ca="1">IFERROR(__xludf.DUMMYFUNCTION("IMPORTRANGE(""https://docs.google.com/spreadsheets/d/1SX6NBoVAgQJ6U1MVXOaj8PK2l7WJ3RER9xtqwdhxkhw/edit?usp=sharing"",""ตราด!J33"")"),0)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IFERROR(__xludf.DUMMYFUNCTION("IMPORTRANGE(""https://docs.google.com/spreadsheets/d/1Yj_ptqi66GCucihVvJfMjLAmec39IyEx_6qawtMGysU/edit?usp=sharing"",""สบก!AR64"")"),0)</f>
        <v>0</v>
      </c>
      <c r="N98" s="169">
        <f ca="1">IFERROR(__xludf.DUMMYFUNCTION("IMPORTRANGE(""https://docs.google.com/spreadsheets/d/1Yj_ptqi66GCucihVvJfMjLAmec39IyEx_6qawtMGysU/edit?usp=sharing"",""สบก!AS64"")"),0)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IFERROR(__xludf.DUMMYFUNCTION("IMPORTRANGE(""https://docs.google.com/spreadsheets/d/1Yj_ptqi66GCucihVvJfMjLAmec39IyEx_6qawtMGysU/edit?usp=sharing"",""สบก!AN64"")"),0)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IFERROR(__xludf.DUMMYFUNCTION("IMPORTRANGE(""https://docs.google.com/spreadsheets/d/1Yj_ptqi66GCucihVvJfMjLAmec39IyEx_6qawtMGysU/edit?usp=sharing"",""สบก!AO64"")"),0)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IFERROR(__xludf.DUMMYFUNCTION("IMPORTRANGE(""https://docs.google.com/spreadsheets/d/1Yj_ptqi66GCucihVvJfMjLAmec39IyEx_6qawtMGysU/edit?usp=sharing"",""สบก!AP64"")"),0)</f>
        <v>0</v>
      </c>
      <c r="M102" s="49"/>
      <c r="N102" s="49">
        <f ca="1">IFERROR(__xludf.DUMMYFUNCTION("IMPORTRANGE(""https://docs.google.com/spreadsheets/d/1Yj_ptqi66GCucihVvJfMjLAmec39IyEx_6qawtMGysU/edit?usp=sharing"",""สบก!AT64"")"),0)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IFERROR(__xludf.DUMMYFUNCTION("IMPORTRANGE(""https://docs.google.com/spreadsheets/d/1SX6NBoVAgQJ6U1MVXOaj8PK2l7WJ3RER9xtqwdhxkhw/edit?usp=sharing"",""ตราด!J39"")"),0)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IFERROR(__xludf.DUMMYFUNCTION("IMPORTRANGE(""https://docs.google.com/spreadsheets/d/1SX6NBoVAgQJ6U1MVXOaj8PK2l7WJ3RER9xtqwdhxkhw/edit?usp=sharing"",""ตราด!J40"")"),0)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IFERROR(__xludf.DUMMYFUNCTION("IMPORTRANGE(""https://docs.google.com/spreadsheets/d/1SX6NBoVAgQJ6U1MVXOaj8PK2l7WJ3RER9xtqwdhxkhw/edit?usp=sharing"",""ตราด!J41"")"),0)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IFERROR(__xludf.DUMMYFUNCTION("IMPORTRANGE(""https://docs.google.com/spreadsheets/d/1SX6NBoVAgQJ6U1MVXOaj8PK2l7WJ3RER9xtqwdhxkhw/edit?usp=sharing"",""ตราด!J42"")"),0)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IFERROR(__xludf.DUMMYFUNCTION("IMPORTRANGE(""https://docs.google.com/spreadsheets/d/1SX6NBoVAgQJ6U1MVXOaj8PK2l7WJ3RER9xtqwdhxkhw/edit?usp=sharing"",""ตราด!I43"")"),0)</f>
        <v>0</v>
      </c>
      <c r="J108" s="204">
        <f ca="1">IFERROR(__xludf.DUMMYFUNCTION("IMPORTRANGE(""https://docs.google.com/spreadsheets/d/1SX6NBoVAgQJ6U1MVXOaj8PK2l7WJ3RER9xtqwdhxkhw/edit?usp=sharing"",""ตราด!J43"")"),0)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IFERROR(__xludf.DUMMYFUNCTION("IMPORTRANGE(""https://docs.google.com/spreadsheets/d/1SX6NBoVAgQJ6U1MVXOaj8PK2l7WJ3RER9xtqwdhxkhw/edit?usp=sharing"",""ตราด!I44"")"),0)</f>
        <v>0</v>
      </c>
      <c r="J109" s="204">
        <f ca="1">IFERROR(__xludf.DUMMYFUNCTION("IMPORTRANGE(""https://docs.google.com/spreadsheets/d/1SX6NBoVAgQJ6U1MVXOaj8PK2l7WJ3RER9xtqwdhxkhw/edit?usp=sharing"",""ตราด!J44"")"),0)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IFERROR(__xludf.DUMMYFUNCTION("IMPORTRANGE(""https://docs.google.com/spreadsheets/d/1SX6NBoVAgQJ6U1MVXOaj8PK2l7WJ3RER9xtqwdhxkhw/edit?usp=sharing"",""ตราด!I45"")"),0)</f>
        <v>0</v>
      </c>
      <c r="J110" s="204">
        <f ca="1">IFERROR(__xludf.DUMMYFUNCTION("IMPORTRANGE(""https://docs.google.com/spreadsheets/d/1SX6NBoVAgQJ6U1MVXOaj8PK2l7WJ3RER9xtqwdhxkhw/edit?usp=sharing"",""ตราด!J45"")"),0)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IFERROR(__xludf.DUMMYFUNCTION("IMPORTRANGE(""https://docs.google.com/spreadsheets/d/1SX6NBoVAgQJ6U1MVXOaj8PK2l7WJ3RER9xtqwdhxkhw/edit?usp=sharing"",""ตราด!I46"")"),0)</f>
        <v>0</v>
      </c>
      <c r="J111" s="204">
        <f ca="1">IFERROR(__xludf.DUMMYFUNCTION("IMPORTRANGE(""https://docs.google.com/spreadsheets/d/1SX6NBoVAgQJ6U1MVXOaj8PK2l7WJ3RER9xtqwdhxkhw/edit?usp=sharing"",""ตราด!J46"")"),0)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IFERROR(__xludf.DUMMYFUNCTION("IMPORTRANGE(""https://docs.google.com/spreadsheets/d/1SX6NBoVAgQJ6U1MVXOaj8PK2l7WJ3RER9xtqwdhxkhw/edit?usp=sharing"",""ตราด!I47"")"),0)</f>
        <v>0</v>
      </c>
      <c r="J112" s="204">
        <f ca="1">IFERROR(__xludf.DUMMYFUNCTION("IMPORTRANGE(""https://docs.google.com/spreadsheets/d/1SX6NBoVAgQJ6U1MVXOaj8PK2l7WJ3RER9xtqwdhxkhw/edit?usp=sharing"",""ตราด!J47"")"),0)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IFERROR(__xludf.DUMMYFUNCTION("IMPORTRANGE(""https://docs.google.com/spreadsheets/d/1SX6NBoVAgQJ6U1MVXOaj8PK2l7WJ3RER9xtqwdhxkhw/edit?usp=sharing"",""ตราด!I48"")"),0)</f>
        <v>0</v>
      </c>
      <c r="J113" s="204">
        <f ca="1">IFERROR(__xludf.DUMMYFUNCTION("IMPORTRANGE(""https://docs.google.com/spreadsheets/d/1SX6NBoVAgQJ6U1MVXOaj8PK2l7WJ3RER9xtqwdhxkhw/edit?usp=sharing"",""ตราด!J48"")"),0)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IFERROR(__xludf.DUMMYFUNCTION("IMPORTRANGE(""https://docs.google.com/spreadsheets/d/1SX6NBoVAgQJ6U1MVXOaj8PK2l7WJ3RER9xtqwdhxkhw/edit?usp=sharing"",""ตราด!J49"")"),0)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IFERROR(__xludf.DUMMYFUNCTION("IMPORTRANGE(""https://docs.google.com/spreadsheets/d/1SX6NBoVAgQJ6U1MVXOaj8PK2l7WJ3RER9xtqwdhxkhw/edit?usp=sharing"",""ตราด!J50"")"),0)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IFERROR(__xludf.DUMMYFUNCTION("IMPORTRANGE(""https://docs.google.com/spreadsheets/d/1SX6NBoVAgQJ6U1MVXOaj8PK2l7WJ3RER9xtqwdhxkhw/edit?usp=sharing"",""ตราด!I52"")"),0)</f>
        <v>0</v>
      </c>
      <c r="J117" s="142">
        <f ca="1">IFERROR(__xludf.DUMMYFUNCTION("IMPORTRANGE(""https://docs.google.com/spreadsheets/d/1SX6NBoVAgQJ6U1MVXOaj8PK2l7WJ3RER9xtqwdhxkhw/edit?usp=sharing"",""ตราด!J52"")"),0)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IFERROR(__xludf.DUMMYFUNCTION("IMPORTRANGE(""https://docs.google.com/spreadsheets/d/1Yj_ptqi66GCucihVvJfMjLAmec39IyEx_6qawtMGysU/edit?usp=sharing"",""สบก!BA64"")"),0)</f>
        <v>0</v>
      </c>
      <c r="N122" s="169">
        <f ca="1">IFERROR(__xludf.DUMMYFUNCTION("IMPORTRANGE(""https://docs.google.com/spreadsheets/d/1Yj_ptqi66GCucihVvJfMjLAmec39IyEx_6qawtMGysU/edit?usp=sharing"",""สบก!BB64"")"),0)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IFERROR(__xludf.DUMMYFUNCTION("IMPORTRANGE(""https://docs.google.com/spreadsheets/d/1Yj_ptqi66GCucihVvJfMjLAmec39IyEx_6qawtMGysU/edit?usp=sharing"",""สบก!AW64"")"),0)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IFERROR(__xludf.DUMMYFUNCTION("IMPORTRANGE(""https://docs.google.com/spreadsheets/d/1Yj_ptqi66GCucihVvJfMjLAmec39IyEx_6qawtMGysU/edit?usp=sharing"",""สบก!AX64"")"),0)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IFERROR(__xludf.DUMMYFUNCTION("IMPORTRANGE(""https://docs.google.com/spreadsheets/d/1Yj_ptqi66GCucihVvJfMjLAmec39IyEx_6qawtMGysU/edit?usp=sharing"",""สบก!AY64"")"),0)</f>
        <v>0</v>
      </c>
      <c r="M126" s="49"/>
      <c r="N126" s="49">
        <f ca="1">IFERROR(__xludf.DUMMYFUNCTION("IMPORTRANGE(""https://docs.google.com/spreadsheets/d/1Yj_ptqi66GCucihVvJfMjLAmec39IyEx_6qawtMGysU/edit?usp=sharing"",""สบก!BC64"")"),0)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249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IFERROR(__xludf.DUMMYFUNCTION("IMPORTRANGE(""https://docs.google.com/spreadsheets/d/1SX6NBoVAgQJ6U1MVXOaj8PK2l7WJ3RER9xtqwdhxkhw/edit?usp=sharing"",""ตราด!J58"")"),0)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IFERROR(__xludf.DUMMYFUNCTION("IMPORTRANGE(""https://docs.google.com/spreadsheets/d/1SX6NBoVAgQJ6U1MVXOaj8PK2l7WJ3RER9xtqwdhxkhw/edit?usp=sharing"",""ตราด!J59"")"),0)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IFERROR(__xludf.DUMMYFUNCTION("IMPORTRANGE(""https://docs.google.com/spreadsheets/d/1SX6NBoVAgQJ6U1MVXOaj8PK2l7WJ3RER9xtqwdhxkhw/edit?usp=sharing"",""ตราด!J60"")"),0)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IFERROR(__xludf.DUMMYFUNCTION("IMPORTRANGE(""https://docs.google.com/spreadsheets/d/1SX6NBoVAgQJ6U1MVXOaj8PK2l7WJ3RER9xtqwdhxkhw/edit?usp=sharing"",""ตราด!J61"")"),0)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IFERROR(__xludf.DUMMYFUNCTION("IMPORTRANGE(""https://docs.google.com/spreadsheets/d/1SX6NBoVAgQJ6U1MVXOaj8PK2l7WJ3RER9xtqwdhxkhw/edit?usp=sharing"",""ตราด!I62"")"),0)</f>
        <v>0</v>
      </c>
      <c r="J132" s="204">
        <f ca="1">IFERROR(__xludf.DUMMYFUNCTION("IMPORTRANGE(""https://docs.google.com/spreadsheets/d/1SX6NBoVAgQJ6U1MVXOaj8PK2l7WJ3RER9xtqwdhxkhw/edit?usp=sharing"",""ตราด!J62"")"),0)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IFERROR(__xludf.DUMMYFUNCTION("IMPORTRANGE(""https://docs.google.com/spreadsheets/d/1SX6NBoVAgQJ6U1MVXOaj8PK2l7WJ3RER9xtqwdhxkhw/edit?usp=sharing"",""ตราด!I63"")"),0)</f>
        <v>0</v>
      </c>
      <c r="J133" s="204">
        <f ca="1">IFERROR(__xludf.DUMMYFUNCTION("IMPORTRANGE(""https://docs.google.com/spreadsheets/d/1SX6NBoVAgQJ6U1MVXOaj8PK2l7WJ3RER9xtqwdhxkhw/edit?usp=sharing"",""ตราด!J63"")"),0)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IFERROR(__xludf.DUMMYFUNCTION("IMPORTRANGE(""https://docs.google.com/spreadsheets/d/1SX6NBoVAgQJ6U1MVXOaj8PK2l7WJ3RER9xtqwdhxkhw/edit?usp=sharing"",""ตราด!J64"")"),0)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IFERROR(__xludf.DUMMYFUNCTION("IMPORTRANGE(""https://docs.google.com/spreadsheets/d/1SX6NBoVAgQJ6U1MVXOaj8PK2l7WJ3RER9xtqwdhxkhw/edit?usp=sharing"",""ตราด!J65"")"),0)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IFERROR(__xludf.DUMMYFUNCTION("IMPORTRANGE(""https://docs.google.com/spreadsheets/d/1SX6NBoVAgQJ6U1MVXOaj8PK2l7WJ3RER9xtqwdhxkhw/edit?usp=sharing"",""ตราด!I68"")"),0)</f>
        <v>0</v>
      </c>
      <c r="J138" s="267">
        <f ca="1">IFERROR(__xludf.DUMMYFUNCTION("IMPORTRANGE(""https://docs.google.com/spreadsheets/d/1SX6NBoVAgQJ6U1MVXOaj8PK2l7WJ3RER9xtqwdhxkhw/edit?usp=sharing"",""ตราด!J68"")"),0)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43100</v>
      </c>
      <c r="M140" s="152">
        <f t="shared" ca="1" si="64"/>
        <v>42625</v>
      </c>
      <c r="N140" s="152">
        <f t="shared" ca="1" si="64"/>
        <v>29120</v>
      </c>
      <c r="O140" s="151">
        <f t="shared" ref="O140:O142" ca="1" si="65">IF(L140&gt;0,N140*100/L140,0)</f>
        <v>67.56380510440836</v>
      </c>
      <c r="P140" s="151">
        <f t="shared" ref="P140:P142" ca="1" si="66">IF(M140&gt;0,N140*100/M140,0)</f>
        <v>68.31671554252199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43100</v>
      </c>
      <c r="M142" s="157">
        <f t="shared" ca="1" si="68"/>
        <v>42625</v>
      </c>
      <c r="N142" s="157">
        <f t="shared" ca="1" si="68"/>
        <v>29120</v>
      </c>
      <c r="O142" s="156">
        <f t="shared" ca="1" si="65"/>
        <v>67.56380510440836</v>
      </c>
      <c r="P142" s="156">
        <f t="shared" ca="1" si="66"/>
        <v>68.31671554252199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43100</v>
      </c>
      <c r="M144" s="168">
        <f ca="1">IFERROR(__xludf.DUMMYFUNCTION("IMPORTRANGE(""https://docs.google.com/spreadsheets/d/1Yj_ptqi66GCucihVvJfMjLAmec39IyEx_6qawtMGysU/edit?usp=sharing"",""สบก!BJ64"")"),42625)</f>
        <v>42625</v>
      </c>
      <c r="N144" s="169">
        <f ca="1">IFERROR(__xludf.DUMMYFUNCTION("IMPORTRANGE(""https://docs.google.com/spreadsheets/d/1Yj_ptqi66GCucihVvJfMjLAmec39IyEx_6qawtMGysU/edit?usp=sharing"",""สบก!BK64"")"),29120)</f>
        <v>29120</v>
      </c>
      <c r="O144" s="169">
        <f ca="1">IF(L144&gt;0,N144*100/L144,0)</f>
        <v>67.56380510440836</v>
      </c>
      <c r="P144" s="169">
        <f ca="1">IF(M144&gt;0,N144*100/M144,0)</f>
        <v>68.31671554252199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IFERROR(__xludf.DUMMYFUNCTION("IMPORTRANGE(""https://docs.google.com/spreadsheets/d/1Yj_ptqi66GCucihVvJfMjLAmec39IyEx_6qawtMGysU/edit?usp=sharing"",""สบก!BF64"")"),0)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IFERROR(__xludf.DUMMYFUNCTION("IMPORTRANGE(""https://docs.google.com/spreadsheets/d/1Yj_ptqi66GCucihVvJfMjLAmec39IyEx_6qawtMGysU/edit?usp=sharing"",""สบก!BG64"")"),43100)</f>
        <v>43100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IFERROR(__xludf.DUMMYFUNCTION("IMPORTRANGE(""https://docs.google.com/spreadsheets/d/1Yj_ptqi66GCucihVvJfMjLAmec39IyEx_6qawtMGysU/edit?usp=sharing"",""สบก!BH64"")"),0)</f>
        <v>0</v>
      </c>
      <c r="M148" s="49"/>
      <c r="N148" s="49">
        <f ca="1">IFERROR(__xludf.DUMMYFUNCTION("IMPORTRANGE(""https://docs.google.com/spreadsheets/d/1Yj_ptqi66GCucihVvJfMjLAmec39IyEx_6qawtMGysU/edit?usp=sharing"",""สบก!BL64"")"),0)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IFERROR(__xludf.DUMMYFUNCTION("IMPORTRANGE(""https://docs.google.com/spreadsheets/d/1SX6NBoVAgQJ6U1MVXOaj8PK2l7WJ3RER9xtqwdhxkhw/edit?usp=sharing"",""ตราด!I74"")"),4)</f>
        <v>4</v>
      </c>
      <c r="J149" s="275">
        <f ca="1">IFERROR(__xludf.DUMMYFUNCTION("IMPORTRANGE(""https://docs.google.com/spreadsheets/d/1SX6NBoVAgQJ6U1MVXOaj8PK2l7WJ3RER9xtqwdhxkhw/edit?usp=sharing"",""ตราด!J74"")"),1)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IFERROR(__xludf.DUMMYFUNCTION("IMPORTRANGE(""https://docs.google.com/spreadsheets/d/1SX6NBoVAgQJ6U1MVXOaj8PK2l7WJ3RER9xtqwdhxkhw/edit?usp=sharing"",""ตราด!J79"")"),0)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IFERROR(__xludf.DUMMYFUNCTION("IMPORTRANGE(""https://docs.google.com/spreadsheets/d/1SX6NBoVAgQJ6U1MVXOaj8PK2l7WJ3RER9xtqwdhxkhw/edit?usp=sharing"",""ตราด!J80"")"),1)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IFERROR(__xludf.DUMMYFUNCTION("IMPORTRANGE(""https://docs.google.com/spreadsheets/d/1SX6NBoVAgQJ6U1MVXOaj8PK2l7WJ3RER9xtqwdhxkhw/edit?usp=sharing"",""ตราด!J81"")"),1)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IFERROR(__xludf.DUMMYFUNCTION("IMPORTRANGE(""https://docs.google.com/spreadsheets/d/1SX6NBoVAgQJ6U1MVXOaj8PK2l7WJ3RER9xtqwdhxkhw/edit?usp=sharing"",""ตราด!J82"")"),1)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IFERROR(__xludf.DUMMYFUNCTION("IMPORTRANGE(""https://docs.google.com/spreadsheets/d/1SX6NBoVAgQJ6U1MVXOaj8PK2l7WJ3RER9xtqwdhxkhw/edit?usp=sharing"",""ตราด!I83"")"),4)</f>
        <v>4</v>
      </c>
      <c r="J158" s="189">
        <f ca="1">IFERROR(__xludf.DUMMYFUNCTION("IMPORTRANGE(""https://docs.google.com/spreadsheets/d/1SX6NBoVAgQJ6U1MVXOaj8PK2l7WJ3RER9xtqwdhxkhw/edit?usp=sharing"",""ตราด!J83"")"),1)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IFERROR(__xludf.DUMMYFUNCTION("IMPORTRANGE(""https://docs.google.com/spreadsheets/d/1SX6NBoVAgQJ6U1MVXOaj8PK2l7WJ3RER9xtqwdhxkhw/edit?usp=sharing"",""ตราด!J84"")"),19)</f>
        <v>19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IFERROR(__xludf.DUMMYFUNCTION("IMPORTRANGE(""https://docs.google.com/spreadsheets/d/1SX6NBoVAgQJ6U1MVXOaj8PK2l7WJ3RER9xtqwdhxkhw/edit?usp=sharing"",""ตราด!J85"")"),19)</f>
        <v>19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IFERROR(__xludf.DUMMYFUNCTION("IMPORTRANGE(""https://docs.google.com/spreadsheets/d/1SX6NBoVAgQJ6U1MVXOaj8PK2l7WJ3RER9xtqwdhxkhw/edit?usp=sharing"",""ตราด!J86"")"),0)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IFERROR(__xludf.DUMMYFUNCTION("IMPORTRANGE(""https://docs.google.com/spreadsheets/d/1SX6NBoVAgQJ6U1MVXOaj8PK2l7WJ3RER9xtqwdhxkhw/edit?usp=sharing"",""ตราด!J87"")"),0)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IFERROR(__xludf.DUMMYFUNCTION("IMPORTRANGE(""https://docs.google.com/spreadsheets/d/1SX6NBoVAgQJ6U1MVXOaj8PK2l7WJ3RER9xtqwdhxkhw/edit?usp=sharing"",""ตราด!J88"")"),0)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IFERROR(__xludf.DUMMYFUNCTION("IMPORTRANGE(""https://docs.google.com/spreadsheets/d/1SX6NBoVAgQJ6U1MVXOaj8PK2l7WJ3RER9xtqwdhxkhw/edit?usp=sharing"",""ตราด!I89"")"),1)</f>
        <v>1</v>
      </c>
      <c r="J164" s="284">
        <f ca="1">IFERROR(__xludf.DUMMYFUNCTION("IMPORTRANGE(""https://docs.google.com/spreadsheets/d/1SX6NBoVAgQJ6U1MVXOaj8PK2l7WJ3RER9xtqwdhxkhw/edit?usp=sharing"",""ตราด!J89"")"),1)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IFERROR(__xludf.DUMMYFUNCTION("IMPORTRANGE(""https://docs.google.com/spreadsheets/d/1SX6NBoVAgQJ6U1MVXOaj8PK2l7WJ3RER9xtqwdhxkhw/edit?usp=sharing"",""ตราด!J94"")"),0)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IFERROR(__xludf.DUMMYFUNCTION("IMPORTRANGE(""https://docs.google.com/spreadsheets/d/1SX6NBoVAgQJ6U1MVXOaj8PK2l7WJ3RER9xtqwdhxkhw/edit?usp=sharing"",""ตราด!J95"")"),1)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IFERROR(__xludf.DUMMYFUNCTION("IMPORTRANGE(""https://docs.google.com/spreadsheets/d/1SX6NBoVAgQJ6U1MVXOaj8PK2l7WJ3RER9xtqwdhxkhw/edit?usp=sharing"",""ตราด!J96"")"),1)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IFERROR(__xludf.DUMMYFUNCTION("IMPORTRANGE(""https://docs.google.com/spreadsheets/d/1SX6NBoVAgQJ6U1MVXOaj8PK2l7WJ3RER9xtqwdhxkhw/edit?usp=sharing"",""ตราด!J97"")"),1)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IFERROR(__xludf.DUMMYFUNCTION("IMPORTRANGE(""https://docs.google.com/spreadsheets/d/1SX6NBoVAgQJ6U1MVXOaj8PK2l7WJ3RER9xtqwdhxkhw/edit?usp=sharing"",""ตราด!I98"")"),1)</f>
        <v>1</v>
      </c>
      <c r="J173" s="189">
        <f ca="1">IFERROR(__xludf.DUMMYFUNCTION("IMPORTRANGE(""https://docs.google.com/spreadsheets/d/1SX6NBoVAgQJ6U1MVXOaj8PK2l7WJ3RER9xtqwdhxkhw/edit?usp=sharing"",""ตราด!J98"")"),1)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IFERROR(__xludf.DUMMYFUNCTION("IMPORTRANGE(""https://docs.google.com/spreadsheets/d/1SX6NBoVAgQJ6U1MVXOaj8PK2l7WJ3RER9xtqwdhxkhw/edit?usp=sharing"",""ตราด!J99"")"),0)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IFERROR(__xludf.DUMMYFUNCTION("IMPORTRANGE(""https://docs.google.com/spreadsheets/d/1SX6NBoVAgQJ6U1MVXOaj8PK2l7WJ3RER9xtqwdhxkhw/edit?usp=sharing"",""ตราด!J100"")"),0)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IFERROR(__xludf.DUMMYFUNCTION("IMPORTRANGE(""https://docs.google.com/spreadsheets/d/1SX6NBoVAgQJ6U1MVXOaj8PK2l7WJ3RER9xtqwdhxkhw/edit?usp=sharing"",""ตราด!I101"")"),1)</f>
        <v>1</v>
      </c>
      <c r="J176" s="284">
        <f ca="1">IFERROR(__xludf.DUMMYFUNCTION("IMPORTRANGE(""https://docs.google.com/spreadsheets/d/1SX6NBoVAgQJ6U1MVXOaj8PK2l7WJ3RER9xtqwdhxkhw/edit?usp=sharing"",""ตราด!J101"")"),1)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IFERROR(__xludf.DUMMYFUNCTION("IMPORTRANGE(""https://docs.google.com/spreadsheets/d/1SX6NBoVAgQJ6U1MVXOaj8PK2l7WJ3RER9xtqwdhxkhw/edit?usp=sharing"",""ตราด!J106"")"),0)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IFERROR(__xludf.DUMMYFUNCTION("IMPORTRANGE(""https://docs.google.com/spreadsheets/d/1SX6NBoVAgQJ6U1MVXOaj8PK2l7WJ3RER9xtqwdhxkhw/edit?usp=sharing"",""ตราด!J107"")"),1)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IFERROR(__xludf.DUMMYFUNCTION("IMPORTRANGE(""https://docs.google.com/spreadsheets/d/1SX6NBoVAgQJ6U1MVXOaj8PK2l7WJ3RER9xtqwdhxkhw/edit?usp=sharing"",""ตราด!J108"")"),1)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IFERROR(__xludf.DUMMYFUNCTION("IMPORTRANGE(""https://docs.google.com/spreadsheets/d/1SX6NBoVAgQJ6U1MVXOaj8PK2l7WJ3RER9xtqwdhxkhw/edit?usp=sharing"",""ตราด!J109"")"),1)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IFERROR(__xludf.DUMMYFUNCTION("IMPORTRANGE(""https://docs.google.com/spreadsheets/d/1SX6NBoVAgQJ6U1MVXOaj8PK2l7WJ3RER9xtqwdhxkhw/edit?usp=sharing"",""ตราด!I110"")"),1)</f>
        <v>1</v>
      </c>
      <c r="J185" s="204">
        <f ca="1">IFERROR(__xludf.DUMMYFUNCTION("IMPORTRANGE(""https://docs.google.com/spreadsheets/d/1SX6NBoVAgQJ6U1MVXOaj8PK2l7WJ3RER9xtqwdhxkhw/edit?usp=sharing"",""ตราด!J110"")"),0)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IFERROR(__xludf.DUMMYFUNCTION("IMPORTRANGE(""https://docs.google.com/spreadsheets/d/1SX6NBoVAgQJ6U1MVXOaj8PK2l7WJ3RER9xtqwdhxkhw/edit?usp=sharing"",""ตราด!I111"")"),1)</f>
        <v>1</v>
      </c>
      <c r="J186" s="204">
        <f ca="1">IFERROR(__xludf.DUMMYFUNCTION("IMPORTRANGE(""https://docs.google.com/spreadsheets/d/1SX6NBoVAgQJ6U1MVXOaj8PK2l7WJ3RER9xtqwdhxkhw/edit?usp=sharing"",""ตราด!J111"")"),1)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IFERROR(__xludf.DUMMYFUNCTION("IMPORTRANGE(""https://docs.google.com/spreadsheets/d/1SX6NBoVAgQJ6U1MVXOaj8PK2l7WJ3RER9xtqwdhxkhw/edit?usp=sharing"",""ตราด!J112"")"),0)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IFERROR(__xludf.DUMMYFUNCTION("IMPORTRANGE(""https://docs.google.com/spreadsheets/d/1SX6NBoVAgQJ6U1MVXOaj8PK2l7WJ3RER9xtqwdhxkhw/edit?usp=sharing"",""ตราด!J113"")"),0)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IFERROR(__xludf.DUMMYFUNCTION("IMPORTRANGE(""https://docs.google.com/spreadsheets/d/1SX6NBoVAgQJ6U1MVXOaj8PK2l7WJ3RER9xtqwdhxkhw/edit?usp=sharing"",""ตราด!I114"")"),3200)</f>
        <v>3200</v>
      </c>
      <c r="J189" s="284">
        <f ca="1">IFERROR(__xludf.DUMMYFUNCTION("IMPORTRANGE(""https://docs.google.com/spreadsheets/d/1SX6NBoVAgQJ6U1MVXOaj8PK2l7WJ3RER9xtqwdhxkhw/edit?usp=sharing"",""ตราด!J114"")"),0)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IFERROR(__xludf.DUMMYFUNCTION("IMPORTRANGE(""https://docs.google.com/spreadsheets/d/1SX6NBoVAgQJ6U1MVXOaj8PK2l7WJ3RER9xtqwdhxkhw/edit?usp=sharing"",""ตราด!J119"")"),1)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IFERROR(__xludf.DUMMYFUNCTION("IMPORTRANGE(""https://docs.google.com/spreadsheets/d/1SX6NBoVAgQJ6U1MVXOaj8PK2l7WJ3RER9xtqwdhxkhw/edit?usp=sharing"",""ตราด!J120"")"),0)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IFERROR(__xludf.DUMMYFUNCTION("IMPORTRANGE(""https://docs.google.com/spreadsheets/d/1SX6NBoVAgQJ6U1MVXOaj8PK2l7WJ3RER9xtqwdhxkhw/edit?usp=sharing"",""ตราด!J121"")"),0)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IFERROR(__xludf.DUMMYFUNCTION("IMPORTRANGE(""https://docs.google.com/spreadsheets/d/1SX6NBoVAgQJ6U1MVXOaj8PK2l7WJ3RER9xtqwdhxkhw/edit?usp=sharing"",""ตราด!J122"")"),0)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IFERROR(__xludf.DUMMYFUNCTION("IMPORTRANGE(""https://docs.google.com/spreadsheets/d/1SX6NBoVAgQJ6U1MVXOaj8PK2l7WJ3RER9xtqwdhxkhw/edit?usp=sharing"",""ตราด!I124"")"),3200)</f>
        <v>3200</v>
      </c>
      <c r="J199" s="189">
        <f ca="1">IFERROR(__xludf.DUMMYFUNCTION("IMPORTRANGE(""https://docs.google.com/spreadsheets/d/1SX6NBoVAgQJ6U1MVXOaj8PK2l7WJ3RER9xtqwdhxkhw/edit?usp=sharing"",""ตราด!J124"")"),0)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IFERROR(__xludf.DUMMYFUNCTION("IMPORTRANGE(""https://docs.google.com/spreadsheets/d/1SX6NBoVAgQJ6U1MVXOaj8PK2l7WJ3RER9xtqwdhxkhw/edit?usp=sharing"",""ตราด!I125"")"),3200)</f>
        <v>3200</v>
      </c>
      <c r="J200" s="189">
        <f ca="1">IFERROR(__xludf.DUMMYFUNCTION("IMPORTRANGE(""https://docs.google.com/spreadsheets/d/1SX6NBoVAgQJ6U1MVXOaj8PK2l7WJ3RER9xtqwdhxkhw/edit?usp=sharing"",""ตราด!J125"")"),0)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IFERROR(__xludf.DUMMYFUNCTION("IMPORTRANGE(""https://docs.google.com/spreadsheets/d/1SX6NBoVAgQJ6U1MVXOaj8PK2l7WJ3RER9xtqwdhxkhw/edit?usp=sharing"",""ตราด!I126"")"),0)</f>
        <v>0</v>
      </c>
      <c r="J201" s="189">
        <f ca="1">IFERROR(__xludf.DUMMYFUNCTION("IMPORTRANGE(""https://docs.google.com/spreadsheets/d/1SX6NBoVAgQJ6U1MVXOaj8PK2l7WJ3RER9xtqwdhxkhw/edit?usp=sharing"",""ตราด!J126"")"),0)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IFERROR(__xludf.DUMMYFUNCTION("IMPORTRANGE(""https://docs.google.com/spreadsheets/d/1SX6NBoVAgQJ6U1MVXOaj8PK2l7WJ3RER9xtqwdhxkhw/edit?usp=sharing"",""ตราด!J127"")"),0)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IFERROR(__xludf.DUMMYFUNCTION("IMPORTRANGE(""https://docs.google.com/spreadsheets/d/1SX6NBoVAgQJ6U1MVXOaj8PK2l7WJ3RER9xtqwdhxkhw/edit?usp=sharing"",""ตราด!J128"")"),0)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IFERROR(__xludf.DUMMYFUNCTION("IMPORTRANGE(""https://docs.google.com/spreadsheets/d/1SX6NBoVAgQJ6U1MVXOaj8PK2l7WJ3RER9xtqwdhxkhw/edit?usp=sharing"",""ตราด!I129"")"),0)</f>
        <v>0</v>
      </c>
      <c r="J204" s="284">
        <f ca="1">IFERROR(__xludf.DUMMYFUNCTION("IMPORTRANGE(""https://docs.google.com/spreadsheets/d/1SX6NBoVAgQJ6U1MVXOaj8PK2l7WJ3RER9xtqwdhxkhw/edit?usp=sharing"",""ตราด!J129"")"),0)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IFERROR(__xludf.DUMMYFUNCTION("IMPORTRANGE(""https://docs.google.com/spreadsheets/d/1SX6NBoVAgQJ6U1MVXOaj8PK2l7WJ3RER9xtqwdhxkhw/edit?usp=sharing"",""ตราด!J134"")"),0)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IFERROR(__xludf.DUMMYFUNCTION("IMPORTRANGE(""https://docs.google.com/spreadsheets/d/1SX6NBoVAgQJ6U1MVXOaj8PK2l7WJ3RER9xtqwdhxkhw/edit?usp=sharing"",""ตราด!J135"")"),0)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IFERROR(__xludf.DUMMYFUNCTION("IMPORTRANGE(""https://docs.google.com/spreadsheets/d/1SX6NBoVAgQJ6U1MVXOaj8PK2l7WJ3RER9xtqwdhxkhw/edit?usp=sharing"",""ตราด!J136"")"),0)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IFERROR(__xludf.DUMMYFUNCTION("IMPORTRANGE(""https://docs.google.com/spreadsheets/d/1SX6NBoVAgQJ6U1MVXOaj8PK2l7WJ3RER9xtqwdhxkhw/edit?usp=sharing"",""ตราด!J137"")"),0)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IFERROR(__xludf.DUMMYFUNCTION("IMPORTRANGE(""https://docs.google.com/spreadsheets/d/1SX6NBoVAgQJ6U1MVXOaj8PK2l7WJ3RER9xtqwdhxkhw/edit?usp=sharing"",""ตราด!I138"")"),0)</f>
        <v>0</v>
      </c>
      <c r="J213" s="204">
        <f ca="1">IFERROR(__xludf.DUMMYFUNCTION("IMPORTRANGE(""https://docs.google.com/spreadsheets/d/1SX6NBoVAgQJ6U1MVXOaj8PK2l7WJ3RER9xtqwdhxkhw/edit?usp=sharing"",""ตราด!J138"")"),0)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IFERROR(__xludf.DUMMYFUNCTION("IMPORTRANGE(""https://docs.google.com/spreadsheets/d/1SX6NBoVAgQJ6U1MVXOaj8PK2l7WJ3RER9xtqwdhxkhw/edit?usp=sharing"",""ตราด!I140"")"),0)</f>
        <v>0</v>
      </c>
      <c r="J215" s="204">
        <f ca="1">IFERROR(__xludf.DUMMYFUNCTION("IMPORTRANGE(""https://docs.google.com/spreadsheets/d/1SX6NBoVAgQJ6U1MVXOaj8PK2l7WJ3RER9xtqwdhxkhw/edit?usp=sharing"",""ตราด!J140"")"),0)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IFERROR(__xludf.DUMMYFUNCTION("IMPORTRANGE(""https://docs.google.com/spreadsheets/d/1SX6NBoVAgQJ6U1MVXOaj8PK2l7WJ3RER9xtqwdhxkhw/edit?usp=sharing"",""ตราด!I141"")"),0)</f>
        <v>0</v>
      </c>
      <c r="J216" s="204">
        <f ca="1">IFERROR(__xludf.DUMMYFUNCTION("IMPORTRANGE(""https://docs.google.com/spreadsheets/d/1SX6NBoVAgQJ6U1MVXOaj8PK2l7WJ3RER9xtqwdhxkhw/edit?usp=sharing"",""ตราด!J141"")"),0)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IFERROR(__xludf.DUMMYFUNCTION("IMPORTRANGE(""https://docs.google.com/spreadsheets/d/1SX6NBoVAgQJ6U1MVXOaj8PK2l7WJ3RER9xtqwdhxkhw/edit?usp=sharing"",""ตราด!J142"")"),0)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IFERROR(__xludf.DUMMYFUNCTION("IMPORTRANGE(""https://docs.google.com/spreadsheets/d/1SX6NBoVAgQJ6U1MVXOaj8PK2l7WJ3RER9xtqwdhxkhw/edit?usp=sharing"",""ตราด!J143"")"),0)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IFERROR(__xludf.DUMMYFUNCTION("IMPORTRANGE(""https://docs.google.com/spreadsheets/d/1SX6NBoVAgQJ6U1MVXOaj8PK2l7WJ3RER9xtqwdhxkhw/edit?usp=sharing"",""ตราด!I144"")"),14)</f>
        <v>14</v>
      </c>
      <c r="J219" s="267">
        <f ca="1">IFERROR(__xludf.DUMMYFUNCTION("IMPORTRANGE(""https://docs.google.com/spreadsheets/d/1SX6NBoVAgQJ6U1MVXOaj8PK2l7WJ3RER9xtqwdhxkhw/edit?usp=sharing"",""ตราด!J144"")"),14)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IFERROR(__xludf.DUMMYFUNCTION("IMPORTRANGE(""https://docs.google.com/spreadsheets/d/1Yj_ptqi66GCucihVvJfMjLAmec39IyEx_6qawtMGysU/edit?usp=sharing"",""สบก!BS64"")"),20210)</f>
        <v>20210</v>
      </c>
      <c r="N224" s="169">
        <f ca="1">IFERROR(__xludf.DUMMYFUNCTION("IMPORTRANGE(""https://docs.google.com/spreadsheets/d/1Yj_ptqi66GCucihVvJfMjLAmec39IyEx_6qawtMGysU/edit?usp=sharing"",""สบก!BT64"")"),20210)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IFERROR(__xludf.DUMMYFUNCTION("IMPORTRANGE(""https://docs.google.com/spreadsheets/d/1Yj_ptqi66GCucihVvJfMjLAmec39IyEx_6qawtMGysU/edit?usp=sharing"",""สบก!BO64"")"),0)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IFERROR(__xludf.DUMMYFUNCTION("IMPORTRANGE(""https://docs.google.com/spreadsheets/d/1Yj_ptqi66GCucihVvJfMjLAmec39IyEx_6qawtMGysU/edit?usp=sharing"",""สบก!BP64"")"),20210)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IFERROR(__xludf.DUMMYFUNCTION("IMPORTRANGE(""https://docs.google.com/spreadsheets/d/1Yj_ptqi66GCucihVvJfMjLAmec39IyEx_6qawtMGysU/edit?usp=sharing"",""สบก!BQ64"")"),0)</f>
        <v>0</v>
      </c>
      <c r="M228" s="49"/>
      <c r="N228" s="49">
        <f ca="1">IFERROR(__xludf.DUMMYFUNCTION("IMPORTRANGE(""https://docs.google.com/spreadsheets/d/1Yj_ptqi66GCucihVvJfMjLAmec39IyEx_6qawtMGysU/edit?usp=sharing"",""สบก!BU64"")"),0)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IFERROR(__xludf.DUMMYFUNCTION("IMPORTRANGE(""https://docs.google.com/spreadsheets/d/1SX6NBoVAgQJ6U1MVXOaj8PK2l7WJ3RER9xtqwdhxkhw/edit?usp=sharing"",""ตราด!I149"")"),14)</f>
        <v>14</v>
      </c>
      <c r="J229" s="267">
        <f ca="1">IFERROR(__xludf.DUMMYFUNCTION("IMPORTRANGE(""https://docs.google.com/spreadsheets/d/1SX6NBoVAgQJ6U1MVXOaj8PK2l7WJ3RER9xtqwdhxkhw/edit?usp=sharing"",""ตราด!J149"")"),14)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IFERROR(__xludf.DUMMYFUNCTION("IMPORTRANGE(""https://docs.google.com/spreadsheets/d/1SX6NBoVAgQJ6U1MVXOaj8PK2l7WJ3RER9xtqwdhxkhw/edit?usp=sharing"",""ตราด!J151"")"),0)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IFERROR(__xludf.DUMMYFUNCTION("IMPORTRANGE(""https://docs.google.com/spreadsheets/d/1SX6NBoVAgQJ6U1MVXOaj8PK2l7WJ3RER9xtqwdhxkhw/edit?usp=sharing"",""ตราด!J152"")"),1)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IFERROR(__xludf.DUMMYFUNCTION("IMPORTRANGE(""https://docs.google.com/spreadsheets/d/1SX6NBoVAgQJ6U1MVXOaj8PK2l7WJ3RER9xtqwdhxkhw/edit?usp=sharing"",""ตราด!J153"")"),1)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IFERROR(__xludf.DUMMYFUNCTION("IMPORTRANGE(""https://docs.google.com/spreadsheets/d/1SX6NBoVAgQJ6U1MVXOaj8PK2l7WJ3RER9xtqwdhxkhw/edit?usp=sharing"",""ตราด!J154"")"),1)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IFERROR(__xludf.DUMMYFUNCTION("IMPORTRANGE(""https://docs.google.com/spreadsheets/d/1SX6NBoVAgQJ6U1MVXOaj8PK2l7WJ3RER9xtqwdhxkhw/edit?usp=sharing"",""ตราด!I155"")"),14)</f>
        <v>14</v>
      </c>
      <c r="J235" s="189">
        <f ca="1">IFERROR(__xludf.DUMMYFUNCTION("IMPORTRANGE(""https://docs.google.com/spreadsheets/d/1SX6NBoVAgQJ6U1MVXOaj8PK2l7WJ3RER9xtqwdhxkhw/edit?usp=sharing"",""ตราด!J155"")"),14)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IFERROR(__xludf.DUMMYFUNCTION("IMPORTRANGE(""https://docs.google.com/spreadsheets/d/1SX6NBoVAgQJ6U1MVXOaj8PK2l7WJ3RER9xtqwdhxkhw/edit?usp=sharing"",""ตราด!J156"")"),0)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IFERROR(__xludf.DUMMYFUNCTION("IMPORTRANGE(""https://docs.google.com/spreadsheets/d/1SX6NBoVAgQJ6U1MVXOaj8PK2l7WJ3RER9xtqwdhxkhw/edit?usp=sharing"",""ตราด!J157"")"),0)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IFERROR(__xludf.DUMMYFUNCTION("IMPORTRANGE(""https://docs.google.com/spreadsheets/d/1SX6NBoVAgQJ6U1MVXOaj8PK2l7WJ3RER9xtqwdhxkhw/edit?usp=sharing"",""ตราด!I158"")"),0)</f>
        <v>0</v>
      </c>
      <c r="J238" s="267">
        <f ca="1">IFERROR(__xludf.DUMMYFUNCTION("IMPORTRANGE(""https://docs.google.com/spreadsheets/d/1SX6NBoVAgQJ6U1MVXOaj8PK2l7WJ3RER9xtqwdhxkhw/edit?usp=sharing"",""ตราด!J158"")"),0)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IFERROR(__xludf.DUMMYFUNCTION("IMPORTRANGE(""https://docs.google.com/spreadsheets/d/1SX6NBoVAgQJ6U1MVXOaj8PK2l7WJ3RER9xtqwdhxkhw/edit?usp=sharing"",""ตราด!J159"")"),"")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IFERROR(__xludf.DUMMYFUNCTION("IMPORTRANGE(""https://docs.google.com/spreadsheets/d/1SX6NBoVAgQJ6U1MVXOaj8PK2l7WJ3RER9xtqwdhxkhw/edit?usp=sharing"",""ตราด!J161"")"),0)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IFERROR(__xludf.DUMMYFUNCTION("IMPORTRANGE(""https://docs.google.com/spreadsheets/d/1SX6NBoVAgQJ6U1MVXOaj8PK2l7WJ3RER9xtqwdhxkhw/edit?usp=sharing"",""ตราด!J162"")"),0)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IFERROR(__xludf.DUMMYFUNCTION("IMPORTRANGE(""https://docs.google.com/spreadsheets/d/1SX6NBoVAgQJ6U1MVXOaj8PK2l7WJ3RER9xtqwdhxkhw/edit?usp=sharing"",""ตราด!J163"")"),0)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IFERROR(__xludf.DUMMYFUNCTION("IMPORTRANGE(""https://docs.google.com/spreadsheets/d/1SX6NBoVAgQJ6U1MVXOaj8PK2l7WJ3RER9xtqwdhxkhw/edit?usp=sharing"",""ตราด!I164"")"),0)</f>
        <v>0</v>
      </c>
      <c r="J244" s="188">
        <f ca="1">IFERROR(__xludf.DUMMYFUNCTION("IMPORTRANGE(""https://docs.google.com/spreadsheets/d/1SX6NBoVAgQJ6U1MVXOaj8PK2l7WJ3RER9xtqwdhxkhw/edit?usp=sharing"",""ตราด!J164"")"),0)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IFERROR(__xludf.DUMMYFUNCTION("IMPORTRANGE(""https://docs.google.com/spreadsheets/d/1SX6NBoVAgQJ6U1MVXOaj8PK2l7WJ3RER9xtqwdhxkhw/edit?usp=sharing"",""ตราด!J165"")"),0)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IFERROR(__xludf.DUMMYFUNCTION("IMPORTRANGE(""https://docs.google.com/spreadsheets/d/1SX6NBoVAgQJ6U1MVXOaj8PK2l7WJ3RER9xtqwdhxkhw/edit?usp=sharing"",""ตราด!J166"")"),0)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IFERROR(__xludf.DUMMYFUNCTION("IMPORTRANGE(""https://docs.google.com/spreadsheets/d/1SX6NBoVAgQJ6U1MVXOaj8PK2l7WJ3RER9xtqwdhxkhw/edit?usp=sharing"",""ตราด!I169"")"),0)</f>
        <v>0</v>
      </c>
      <c r="J249" s="316">
        <f ca="1">IFERROR(__xludf.DUMMYFUNCTION("IMPORTRANGE(""https://docs.google.com/spreadsheets/d/1SX6NBoVAgQJ6U1MVXOaj8PK2l7WJ3RER9xtqwdhxkhw/edit?usp=sharing"",""ตราด!J169"")"),0)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IFERROR(__xludf.DUMMYFUNCTION("IMPORTRANGE(""https://docs.google.com/spreadsheets/d/1Yj_ptqi66GCucihVvJfMjLAmec39IyEx_6qawtMGysU/edit?usp=sharing"",""สบก!CB64"")"),0)</f>
        <v>0</v>
      </c>
      <c r="N254" s="169">
        <f ca="1">IFERROR(__xludf.DUMMYFUNCTION("IMPORTRANGE(""https://docs.google.com/spreadsheets/d/1Yj_ptqi66GCucihVvJfMjLAmec39IyEx_6qawtMGysU/edit?usp=sharing"",""สบก!CC64"")"),0)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IFERROR(__xludf.DUMMYFUNCTION("IMPORTRANGE(""https://docs.google.com/spreadsheets/d/1Yj_ptqi66GCucihVvJfMjLAmec39IyEx_6qawtMGysU/edit?usp=sharing"",""สบก!BX64"")"),0)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IFERROR(__xludf.DUMMYFUNCTION("IMPORTRANGE(""https://docs.google.com/spreadsheets/d/1Yj_ptqi66GCucihVvJfMjLAmec39IyEx_6qawtMGysU/edit?usp=sharing"",""สบก!BY64"")"),0)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IFERROR(__xludf.DUMMYFUNCTION("IMPORTRANGE(""https://docs.google.com/spreadsheets/d/1Yj_ptqi66GCucihVvJfMjLAmec39IyEx_6qawtMGysU/edit?usp=sharing"",""สบก!BZ64"")"),0)</f>
        <v>0</v>
      </c>
      <c r="M258" s="49"/>
      <c r="N258" s="49">
        <f ca="1">IFERROR(__xludf.DUMMYFUNCTION("IMPORTRANGE(""https://docs.google.com/spreadsheets/d/1Yj_ptqi66GCucihVvJfMjLAmec39IyEx_6qawtMGysU/edit?usp=sharing"",""สบก!CD64"")"),0)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IFERROR(__xludf.DUMMYFUNCTION("IMPORTRANGE(""https://docs.google.com/spreadsheets/d/1SX6NBoVAgQJ6U1MVXOaj8PK2l7WJ3RER9xtqwdhxkhw/edit?usp=sharing"",""ตราด!J175"")"),0)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IFERROR(__xludf.DUMMYFUNCTION("IMPORTRANGE(""https://docs.google.com/spreadsheets/d/1SX6NBoVAgQJ6U1MVXOaj8PK2l7WJ3RER9xtqwdhxkhw/edit?usp=sharing"",""ตราด!J176"")"),0)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IFERROR(__xludf.DUMMYFUNCTION("IMPORTRANGE(""https://docs.google.com/spreadsheets/d/1SX6NBoVAgQJ6U1MVXOaj8PK2l7WJ3RER9xtqwdhxkhw/edit?usp=sharing"",""ตราด!J177"")"),0)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IFERROR(__xludf.DUMMYFUNCTION("IMPORTRANGE(""https://docs.google.com/spreadsheets/d/1SX6NBoVAgQJ6U1MVXOaj8PK2l7WJ3RER9xtqwdhxkhw/edit?usp=sharing"",""ตราด!J178"")"),0)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IFERROR(__xludf.DUMMYFUNCTION("IMPORTRANGE(""https://docs.google.com/spreadsheets/d/1SX6NBoVAgQJ6U1MVXOaj8PK2l7WJ3RER9xtqwdhxkhw/edit?usp=sharing"",""ตราด!I179"")"),0)</f>
        <v>0</v>
      </c>
      <c r="J264" s="189">
        <f ca="1">IFERROR(__xludf.DUMMYFUNCTION("IMPORTRANGE(""https://docs.google.com/spreadsheets/d/1SX6NBoVAgQJ6U1MVXOaj8PK2l7WJ3RER9xtqwdhxkhw/edit?usp=sharing"",""ตราด!J179"")"),0)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IFERROR(__xludf.DUMMYFUNCTION("IMPORTRANGE(""https://docs.google.com/spreadsheets/d/1SX6NBoVAgQJ6U1MVXOaj8PK2l7WJ3RER9xtqwdhxkhw/edit?usp=sharing"",""ตราด!I180"")"),0)</f>
        <v>0</v>
      </c>
      <c r="J265" s="189">
        <f ca="1">IFERROR(__xludf.DUMMYFUNCTION("IMPORTRANGE(""https://docs.google.com/spreadsheets/d/1SX6NBoVAgQJ6U1MVXOaj8PK2l7WJ3RER9xtqwdhxkhw/edit?usp=sharing"",""ตราด!J180"")"),0)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IFERROR(__xludf.DUMMYFUNCTION("IMPORTRANGE(""https://docs.google.com/spreadsheets/d/1SX6NBoVAgQJ6U1MVXOaj8PK2l7WJ3RER9xtqwdhxkhw/edit?usp=sharing"",""ตราด!I181"")"),0)</f>
        <v>0</v>
      </c>
      <c r="J266" s="189">
        <f ca="1">IFERROR(__xludf.DUMMYFUNCTION("IMPORTRANGE(""https://docs.google.com/spreadsheets/d/1SX6NBoVAgQJ6U1MVXOaj8PK2l7WJ3RER9xtqwdhxkhw/edit?usp=sharing"",""ตราด!J181"")"),0)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IFERROR(__xludf.DUMMYFUNCTION("IMPORTRANGE(""https://docs.google.com/spreadsheets/d/1SX6NBoVAgQJ6U1MVXOaj8PK2l7WJ3RER9xtqwdhxkhw/edit?usp=sharing"",""ตราด!I182"")"),0)</f>
        <v>0</v>
      </c>
      <c r="J267" s="189">
        <f ca="1">IFERROR(__xludf.DUMMYFUNCTION("IMPORTRANGE(""https://docs.google.com/spreadsheets/d/1SX6NBoVAgQJ6U1MVXOaj8PK2l7WJ3RER9xtqwdhxkhw/edit?usp=sharing"",""ตราด!J182"")"),0)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IFERROR(__xludf.DUMMYFUNCTION("IMPORTRANGE(""https://docs.google.com/spreadsheets/d/1SX6NBoVAgQJ6U1MVXOaj8PK2l7WJ3RER9xtqwdhxkhw/edit?usp=sharing"",""ตราด!J183"")"),0)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IFERROR(__xludf.DUMMYFUNCTION("IMPORTRANGE(""https://docs.google.com/spreadsheets/d/1SX6NBoVAgQJ6U1MVXOaj8PK2l7WJ3RER9xtqwdhxkhw/edit?usp=sharing"",""ตราด!J184"")"),0)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IFERROR(__xludf.DUMMYFUNCTION("IMPORTRANGE(""https://docs.google.com/spreadsheets/d/1SX6NBoVAgQJ6U1MVXOaj8PK2l7WJ3RER9xtqwdhxkhw/edit?usp=sharing"",""ตราด!I185"")"),0)</f>
        <v>0</v>
      </c>
      <c r="J270" s="316">
        <f ca="1">IFERROR(__xludf.DUMMYFUNCTION("IMPORTRANGE(""https://docs.google.com/spreadsheets/d/1SX6NBoVAgQJ6U1MVXOaj8PK2l7WJ3RER9xtqwdhxkhw/edit?usp=sharing"",""ตราด!J185"")"),0)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IFERROR(__xludf.DUMMYFUNCTION("IMPORTRANGE(""https://docs.google.com/spreadsheets/d/1Yj_ptqi66GCucihVvJfMjLAmec39IyEx_6qawtMGysU/edit?usp=sharing"",""สบก!CK64"")"),0)</f>
        <v>0</v>
      </c>
      <c r="N275" s="169">
        <f ca="1">IFERROR(__xludf.DUMMYFUNCTION("IMPORTRANGE(""https://docs.google.com/spreadsheets/d/1Yj_ptqi66GCucihVvJfMjLAmec39IyEx_6qawtMGysU/edit?usp=sharing"",""สบก!CL64"")"),0)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IFERROR(__xludf.DUMMYFUNCTION("IMPORTRANGE(""https://docs.google.com/spreadsheets/d/1Yj_ptqi66GCucihVvJfMjLAmec39IyEx_6qawtMGysU/edit?usp=sharing"",""สบก!CG64"")"),0)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IFERROR(__xludf.DUMMYFUNCTION("IMPORTRANGE(""https://docs.google.com/spreadsheets/d/1Yj_ptqi66GCucihVvJfMjLAmec39IyEx_6qawtMGysU/edit?usp=sharing"",""สบก!CH64"")"),0)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IFERROR(__xludf.DUMMYFUNCTION("IMPORTRANGE(""https://docs.google.com/spreadsheets/d/1Yj_ptqi66GCucihVvJfMjLAmec39IyEx_6qawtMGysU/edit?usp=sharing"",""สบก!CI64"")"),0)</f>
        <v>0</v>
      </c>
      <c r="M279" s="49"/>
      <c r="N279" s="49">
        <f ca="1">IFERROR(__xludf.DUMMYFUNCTION("IMPORTRANGE(""https://docs.google.com/spreadsheets/d/1Yj_ptqi66GCucihVvJfMjLAmec39IyEx_6qawtMGysU/edit?usp=sharing"",""สบก!CM64"")"),0)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IFERROR(__xludf.DUMMYFUNCTION("IMPORTRANGE(""https://docs.google.com/spreadsheets/d/1SX6NBoVAgQJ6U1MVXOaj8PK2l7WJ3RER9xtqwdhxkhw/edit?usp=sharing"",""ตราด!J191"")"),0)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IFERROR(__xludf.DUMMYFUNCTION("IMPORTRANGE(""https://docs.google.com/spreadsheets/d/1SX6NBoVAgQJ6U1MVXOaj8PK2l7WJ3RER9xtqwdhxkhw/edit?usp=sharing"",""ตราด!J192"")"),0)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IFERROR(__xludf.DUMMYFUNCTION("IMPORTRANGE(""https://docs.google.com/spreadsheets/d/1SX6NBoVAgQJ6U1MVXOaj8PK2l7WJ3RER9xtqwdhxkhw/edit?usp=sharing"",""ตราด!J193"")"),0)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IFERROR(__xludf.DUMMYFUNCTION("IMPORTRANGE(""https://docs.google.com/spreadsheets/d/1SX6NBoVAgQJ6U1MVXOaj8PK2l7WJ3RER9xtqwdhxkhw/edit?usp=sharing"",""ตราด!J194"")"),0)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IFERROR(__xludf.DUMMYFUNCTION("IMPORTRANGE(""https://docs.google.com/spreadsheets/d/1SX6NBoVAgQJ6U1MVXOaj8PK2l7WJ3RER9xtqwdhxkhw/edit?usp=sharing"",""ตราด!I195"")"),0)</f>
        <v>0</v>
      </c>
      <c r="J285" s="189">
        <f ca="1">IFERROR(__xludf.DUMMYFUNCTION("IMPORTRANGE(""https://docs.google.com/spreadsheets/d/1SX6NBoVAgQJ6U1MVXOaj8PK2l7WJ3RER9xtqwdhxkhw/edit?usp=sharing"",""ตราด!J195"")"),0)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IFERROR(__xludf.DUMMYFUNCTION("IMPORTRANGE(""https://docs.google.com/spreadsheets/d/1SX6NBoVAgQJ6U1MVXOaj8PK2l7WJ3RER9xtqwdhxkhw/edit?usp=sharing"",""ตราด!J196"")"),0)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IFERROR(__xludf.DUMMYFUNCTION("IMPORTRANGE(""https://docs.google.com/spreadsheets/d/1SX6NBoVAgQJ6U1MVXOaj8PK2l7WJ3RER9xtqwdhxkhw/edit?usp=sharing"",""ตราด!J197"")"),0)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IFERROR(__xludf.DUMMYFUNCTION("IMPORTRANGE(""https://docs.google.com/spreadsheets/d/1SX6NBoVAgQJ6U1MVXOaj8PK2l7WJ3RER9xtqwdhxkhw/edit?usp=sharing"",""ตราด!I199"")"),0)</f>
        <v>0</v>
      </c>
      <c r="J289" s="316">
        <f ca="1">IFERROR(__xludf.DUMMYFUNCTION("IMPORTRANGE(""https://docs.google.com/spreadsheets/d/1SX6NBoVAgQJ6U1MVXOaj8PK2l7WJ3RER9xtqwdhxkhw/edit?usp=sharing"",""ตราด!J199"")"),0)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IFERROR(__xludf.DUMMYFUNCTION("IMPORTRANGE(""https://docs.google.com/spreadsheets/d/1Yj_ptqi66GCucihVvJfMjLAmec39IyEx_6qawtMGysU/edit?usp=sharing"",""สบก!CT64"")"),0)</f>
        <v>0</v>
      </c>
      <c r="N294" s="169">
        <f ca="1">IFERROR(__xludf.DUMMYFUNCTION("IMPORTRANGE(""https://docs.google.com/spreadsheets/d/1Yj_ptqi66GCucihVvJfMjLAmec39IyEx_6qawtMGysU/edit?usp=sharing"",""สบก!CU64"")"),0)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IFERROR(__xludf.DUMMYFUNCTION("IMPORTRANGE(""https://docs.google.com/spreadsheets/d/1Yj_ptqi66GCucihVvJfMjLAmec39IyEx_6qawtMGysU/edit?usp=sharing"",""สบก!CP64"")"),0)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IFERROR(__xludf.DUMMYFUNCTION("IMPORTRANGE(""https://docs.google.com/spreadsheets/d/1Yj_ptqi66GCucihVvJfMjLAmec39IyEx_6qawtMGysU/edit?usp=sharing"",""สบก!CQ64"")"),0)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IFERROR(__xludf.DUMMYFUNCTION("IMPORTRANGE(""https://docs.google.com/spreadsheets/d/1Yj_ptqi66GCucihVvJfMjLAmec39IyEx_6qawtMGysU/edit?usp=sharing"",""สบก!CR64"")"),0)</f>
        <v>0</v>
      </c>
      <c r="M298" s="49"/>
      <c r="N298" s="49">
        <f ca="1">IFERROR(__xludf.DUMMYFUNCTION("IMPORTRANGE(""https://docs.google.com/spreadsheets/d/1Yj_ptqi66GCucihVvJfMjLAmec39IyEx_6qawtMGysU/edit?usp=sharing"",""สบก!CV64"")"),0)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IFERROR(__xludf.DUMMYFUNCTION("IMPORTRANGE(""https://docs.google.com/spreadsheets/d/1SX6NBoVAgQJ6U1MVXOaj8PK2l7WJ3RER9xtqwdhxkhw/edit?usp=sharing"",""ตราด!J205"")"),0)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IFERROR(__xludf.DUMMYFUNCTION("IMPORTRANGE(""https://docs.google.com/spreadsheets/d/1SX6NBoVAgQJ6U1MVXOaj8PK2l7WJ3RER9xtqwdhxkhw/edit?usp=sharing"",""ตราด!J206"")"),0)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IFERROR(__xludf.DUMMYFUNCTION("IMPORTRANGE(""https://docs.google.com/spreadsheets/d/1SX6NBoVAgQJ6U1MVXOaj8PK2l7WJ3RER9xtqwdhxkhw/edit?usp=sharing"",""ตราด!J207"")"),0)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IFERROR(__xludf.DUMMYFUNCTION("IMPORTRANGE(""https://docs.google.com/spreadsheets/d/1SX6NBoVAgQJ6U1MVXOaj8PK2l7WJ3RER9xtqwdhxkhw/edit?usp=sharing"",""ตราด!J208"")"),0)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IFERROR(__xludf.DUMMYFUNCTION("IMPORTRANGE(""https://docs.google.com/spreadsheets/d/1SX6NBoVAgQJ6U1MVXOaj8PK2l7WJ3RER9xtqwdhxkhw/edit?usp=sharing"",""ตราด!I209"")"),0)</f>
        <v>0</v>
      </c>
      <c r="J304" s="204">
        <f ca="1">IFERROR(__xludf.DUMMYFUNCTION("IMPORTRANGE(""https://docs.google.com/spreadsheets/d/1SX6NBoVAgQJ6U1MVXOaj8PK2l7WJ3RER9xtqwdhxkhw/edit?usp=sharing"",""ตราด!J209"")"),0)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IFERROR(__xludf.DUMMYFUNCTION("IMPORTRANGE(""https://docs.google.com/spreadsheets/d/1SX6NBoVAgQJ6U1MVXOaj8PK2l7WJ3RER9xtqwdhxkhw/edit?usp=sharing"",""ตราด!I211"")"),0)</f>
        <v>0</v>
      </c>
      <c r="J306" s="204">
        <f ca="1">IFERROR(__xludf.DUMMYFUNCTION("IMPORTRANGE(""https://docs.google.com/spreadsheets/d/1SX6NBoVAgQJ6U1MVXOaj8PK2l7WJ3RER9xtqwdhxkhw/edit?usp=sharing"",""ตราด!J211"")"),0)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IFERROR(__xludf.DUMMYFUNCTION("IMPORTRANGE(""https://docs.google.com/spreadsheets/d/1SX6NBoVAgQJ6U1MVXOaj8PK2l7WJ3RER9xtqwdhxkhw/edit?usp=sharing"",""ตราด!J212"")"),0)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IFERROR(__xludf.DUMMYFUNCTION("IMPORTRANGE(""https://docs.google.com/spreadsheets/d/1SX6NBoVAgQJ6U1MVXOaj8PK2l7WJ3RER9xtqwdhxkhw/edit?usp=sharing"",""ตราด!J213"")"),0)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IFERROR(__xludf.DUMMYFUNCTION("IMPORTRANGE(""https://docs.google.com/spreadsheets/d/1SX6NBoVAgQJ6U1MVXOaj8PK2l7WJ3RER9xtqwdhxkhw/edit?usp=sharing"",""ตราด!I214"")"),0)</f>
        <v>0</v>
      </c>
      <c r="J309" s="333">
        <f ca="1">IFERROR(__xludf.DUMMYFUNCTION("IMPORTRANGE(""https://docs.google.com/spreadsheets/d/1SX6NBoVAgQJ6U1MVXOaj8PK2l7WJ3RER9xtqwdhxkhw/edit?usp=sharing"",""ตราด!J214"")"),0)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IFERROR(__xludf.DUMMYFUNCTION("IMPORTRANGE(""https://docs.google.com/spreadsheets/d/1Yj_ptqi66GCucihVvJfMjLAmec39IyEx_6qawtMGysU/edit?usp=sharing"",""สบก!DC64"")"),0)</f>
        <v>0</v>
      </c>
      <c r="N314" s="169">
        <f ca="1">IFERROR(__xludf.DUMMYFUNCTION("IMPORTRANGE(""https://docs.google.com/spreadsheets/d/1Yj_ptqi66GCucihVvJfMjLAmec39IyEx_6qawtMGysU/edit?usp=sharing"",""สบก!DD64"")"),0)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IFERROR(__xludf.DUMMYFUNCTION("IMPORTRANGE(""https://docs.google.com/spreadsheets/d/1Yj_ptqi66GCucihVvJfMjLAmec39IyEx_6qawtMGysU/edit?usp=sharing"",""สบก!CY64"")"),0)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IFERROR(__xludf.DUMMYFUNCTION("IMPORTRANGE(""https://docs.google.com/spreadsheets/d/1Yj_ptqi66GCucihVvJfMjLAmec39IyEx_6qawtMGysU/edit?usp=sharing"",""สบก!CZ64"")"),0)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IFERROR(__xludf.DUMMYFUNCTION("IMPORTRANGE(""https://docs.google.com/spreadsheets/d/1Yj_ptqi66GCucihVvJfMjLAmec39IyEx_6qawtMGysU/edit?usp=sharing"",""สบก!DA64"")"),0)</f>
        <v>0</v>
      </c>
      <c r="M318" s="49"/>
      <c r="N318" s="49">
        <f ca="1">IFERROR(__xludf.DUMMYFUNCTION("IMPORTRANGE(""https://docs.google.com/spreadsheets/d/1Yj_ptqi66GCucihVvJfMjLAmec39IyEx_6qawtMGysU/edit?usp=sharing"",""สบก!DE64"")"),0)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IFERROR(__xludf.DUMMYFUNCTION("IMPORTRANGE(""https://docs.google.com/spreadsheets/d/1SX6NBoVAgQJ6U1MVXOaj8PK2l7WJ3RER9xtqwdhxkhw/edit?usp=sharing"",""ตราด!J220"")"),0)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IFERROR(__xludf.DUMMYFUNCTION("IMPORTRANGE(""https://docs.google.com/spreadsheets/d/1SX6NBoVAgQJ6U1MVXOaj8PK2l7WJ3RER9xtqwdhxkhw/edit?usp=sharing"",""ตราด!J221"")"),0)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IFERROR(__xludf.DUMMYFUNCTION("IMPORTRANGE(""https://docs.google.com/spreadsheets/d/1SX6NBoVAgQJ6U1MVXOaj8PK2l7WJ3RER9xtqwdhxkhw/edit?usp=sharing"",""ตราด!J222"")"),0)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IFERROR(__xludf.DUMMYFUNCTION("IMPORTRANGE(""https://docs.google.com/spreadsheets/d/1SX6NBoVAgQJ6U1MVXOaj8PK2l7WJ3RER9xtqwdhxkhw/edit?usp=sharing"",""ตราด!J223"")"),0)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IFERROR(__xludf.DUMMYFUNCTION("IMPORTRANGE(""https://docs.google.com/spreadsheets/d/1SX6NBoVAgQJ6U1MVXOaj8PK2l7WJ3RER9xtqwdhxkhw/edit?usp=sharing"",""ตราด!I224"")"),0)</f>
        <v>0</v>
      </c>
      <c r="J324" s="204">
        <f ca="1">IFERROR(__xludf.DUMMYFUNCTION("IMPORTRANGE(""https://docs.google.com/spreadsheets/d/1SX6NBoVAgQJ6U1MVXOaj8PK2l7WJ3RER9xtqwdhxkhw/edit?usp=sharing"",""ตราด!J224"")"),0)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IFERROR(__xludf.DUMMYFUNCTION("IMPORTRANGE(""https://docs.google.com/spreadsheets/d/1SX6NBoVAgQJ6U1MVXOaj8PK2l7WJ3RER9xtqwdhxkhw/edit?usp=sharing"",""ตราด!J225"")"),0)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IFERROR(__xludf.DUMMYFUNCTION("IMPORTRANGE(""https://docs.google.com/spreadsheets/d/1SX6NBoVAgQJ6U1MVXOaj8PK2l7WJ3RER9xtqwdhxkhw/edit?usp=sharing"",""ตราด!J226"")"),0)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IFERROR(__xludf.DUMMYFUNCTION("IMPORTRANGE(""https://docs.google.com/spreadsheets/d/1SX6NBoVAgQJ6U1MVXOaj8PK2l7WJ3RER9xtqwdhxkhw/edit?usp=sharing"",""ตราด!I228"")"),170)</f>
        <v>170</v>
      </c>
      <c r="J328" s="339">
        <f ca="1">IFERROR(__xludf.DUMMYFUNCTION("IMPORTRANGE(""https://docs.google.com/spreadsheets/d/1SX6NBoVAgQJ6U1MVXOaj8PK2l7WJ3RER9xtqwdhxkhw/edit?usp=sharing"",""ตราด!J228"")"),43)</f>
        <v>43</v>
      </c>
      <c r="K328" s="317">
        <f ca="1">IF(I328&gt;0,J328*100/I328,0)</f>
        <v>25.294117647058822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816030</v>
      </c>
      <c r="M329" s="152">
        <f t="shared" ca="1" si="98"/>
        <v>592220</v>
      </c>
      <c r="N329" s="152">
        <f t="shared" ca="1" si="98"/>
        <v>379514</v>
      </c>
      <c r="O329" s="151">
        <f t="shared" ref="O329:O331" ca="1" si="99">IF(L329&gt;0,N329*100/L329,0)</f>
        <v>46.507358798083402</v>
      </c>
      <c r="P329" s="151">
        <f t="shared" ref="P329:P331" ca="1" si="100">IF(M329&gt;0,N329*100/M329,0)</f>
        <v>64.083279862213374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816030</v>
      </c>
      <c r="M331" s="157">
        <f t="shared" ca="1" si="102"/>
        <v>592220</v>
      </c>
      <c r="N331" s="157">
        <f t="shared" ca="1" si="102"/>
        <v>379514</v>
      </c>
      <c r="O331" s="156">
        <f t="shared" ca="1" si="99"/>
        <v>46.507358798083402</v>
      </c>
      <c r="P331" s="156">
        <f t="shared" ca="1" si="100"/>
        <v>64.083279862213374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816030</v>
      </c>
      <c r="M333" s="168">
        <f ca="1">IFERROR(__xludf.DUMMYFUNCTION("IMPORTRANGE(""https://docs.google.com/spreadsheets/d/1Yj_ptqi66GCucihVvJfMjLAmec39IyEx_6qawtMGysU/edit?usp=sharing"",""สบก!DL64"")"),592220)</f>
        <v>592220</v>
      </c>
      <c r="N333" s="169">
        <f ca="1">IFERROR(__xludf.DUMMYFUNCTION("IMPORTRANGE(""https://docs.google.com/spreadsheets/d/1Yj_ptqi66GCucihVvJfMjLAmec39IyEx_6qawtMGysU/edit?usp=sharing"",""สบก!DM64"")"),379514)</f>
        <v>379514</v>
      </c>
      <c r="O333" s="169">
        <f ca="1">IF(L333&gt;0,N333*100/L333,0)</f>
        <v>46.507358798083402</v>
      </c>
      <c r="P333" s="169">
        <f ca="1">IF(M333&gt;0,N333*100/M333,0)</f>
        <v>64.083279862213374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IFERROR(__xludf.DUMMYFUNCTION("IMPORTRANGE(""https://docs.google.com/spreadsheets/d/1Yj_ptqi66GCucihVvJfMjLAmec39IyEx_6qawtMGysU/edit?usp=sharing"",""สบก!DH64"")"),493800)</f>
        <v>493800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IFERROR(__xludf.DUMMYFUNCTION("IMPORTRANGE(""https://docs.google.com/spreadsheets/d/1Yj_ptqi66GCucihVvJfMjLAmec39IyEx_6qawtMGysU/edit?usp=sharing"",""สบก!DI64"")"),322230)</f>
        <v>322230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IFERROR(__xludf.DUMMYFUNCTION("IMPORTRANGE(""https://docs.google.com/spreadsheets/d/1Yj_ptqi66GCucihVvJfMjLAmec39IyEx_6qawtMGysU/edit?usp=sharing"",""สบก!DJ64"")"),0)</f>
        <v>0</v>
      </c>
      <c r="M337" s="49"/>
      <c r="N337" s="49">
        <f ca="1">IFERROR(__xludf.DUMMYFUNCTION("IMPORTRANGE(""https://docs.google.com/spreadsheets/d/1Yj_ptqi66GCucihVvJfMjLAmec39IyEx_6qawtMGysU/edit?usp=sharing"",""สบก!DN64"")"),0)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IFERROR(__xludf.DUMMYFUNCTION("IMPORTRANGE(""https://docs.google.com/spreadsheets/d/1SX6NBoVAgQJ6U1MVXOaj8PK2l7WJ3RER9xtqwdhxkhw/edit?usp=sharing"",""ตราด!I234"")"),0)</f>
        <v>0</v>
      </c>
      <c r="J339" s="188">
        <f ca="1">IFERROR(__xludf.DUMMYFUNCTION("IMPORTRANGE(""https://docs.google.com/spreadsheets/d/1SX6NBoVAgQJ6U1MVXOaj8PK2l7WJ3RER9xtqwdhxkhw/edit?usp=sharing"",""ตราด!J234"")"),8)</f>
        <v>8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IFERROR(__xludf.DUMMYFUNCTION("IMPORTRANGE(""https://docs.google.com/spreadsheets/d/1SX6NBoVAgQJ6U1MVXOaj8PK2l7WJ3RER9xtqwdhxkhw/edit?usp=sharing"",""ตราด!I235"")"),1600)</f>
        <v>1600</v>
      </c>
      <c r="J340" s="188">
        <f ca="1">IFERROR(__xludf.DUMMYFUNCTION("IMPORTRANGE(""https://docs.google.com/spreadsheets/d/1SX6NBoVAgQJ6U1MVXOaj8PK2l7WJ3RER9xtqwdhxkhw/edit?usp=sharing"",""ตราด!J235"")"),118.16)</f>
        <v>118.16</v>
      </c>
      <c r="K340" s="342">
        <f t="shared" ca="1" si="103"/>
        <v>7.3849999999999998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IFERROR(__xludf.DUMMYFUNCTION("IMPORTRANGE(""https://docs.google.com/spreadsheets/d/1SX6NBoVAgQJ6U1MVXOaj8PK2l7WJ3RER9xtqwdhxkhw/edit?usp=sharing"",""ตราด!I236"")"),170)</f>
        <v>170</v>
      </c>
      <c r="J341" s="188">
        <f ca="1">IFERROR(__xludf.DUMMYFUNCTION("IMPORTRANGE(""https://docs.google.com/spreadsheets/d/1SX6NBoVAgQJ6U1MVXOaj8PK2l7WJ3RER9xtqwdhxkhw/edit?usp=sharing"",""ตราด!J236"")"),46)</f>
        <v>46</v>
      </c>
      <c r="K341" s="342">
        <f t="shared" ca="1" si="103"/>
        <v>27.058823529411764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IFERROR(__xludf.DUMMYFUNCTION("IMPORTRANGE(""https://docs.google.com/spreadsheets/d/1SX6NBoVAgQJ6U1MVXOaj8PK2l7WJ3RER9xtqwdhxkhw/edit?usp=sharing"",""ตราด!I237"")"),0)</f>
        <v>0</v>
      </c>
      <c r="J342" s="188">
        <f ca="1">IFERROR(__xludf.DUMMYFUNCTION("IMPORTRANGE(""https://docs.google.com/spreadsheets/d/1SX6NBoVAgQJ6U1MVXOaj8PK2l7WJ3RER9xtqwdhxkhw/edit?usp=sharing"",""ตราด!J237"")"),866.28)</f>
        <v>866.28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IFERROR(__xludf.DUMMYFUNCTION("IMPORTRANGE(""https://docs.google.com/spreadsheets/d/1SX6NBoVAgQJ6U1MVXOaj8PK2l7WJ3RER9xtqwdhxkhw/edit?usp=sharing"",""ตราด!I238"")"),170)</f>
        <v>170</v>
      </c>
      <c r="J343" s="188">
        <f ca="1">IFERROR(__xludf.DUMMYFUNCTION("IMPORTRANGE(""https://docs.google.com/spreadsheets/d/1SX6NBoVAgQJ6U1MVXOaj8PK2l7WJ3RER9xtqwdhxkhw/edit?usp=sharing"",""ตราด!J238"")"),0)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IFERROR(__xludf.DUMMYFUNCTION("IMPORTRANGE(""https://docs.google.com/spreadsheets/d/1SX6NBoVAgQJ6U1MVXOaj8PK2l7WJ3RER9xtqwdhxkhw/edit?usp=sharing"",""ตราด!I239"")"),0)</f>
        <v>0</v>
      </c>
      <c r="J344" s="188">
        <f ca="1">IFERROR(__xludf.DUMMYFUNCTION("IMPORTRANGE(""https://docs.google.com/spreadsheets/d/1SX6NBoVAgQJ6U1MVXOaj8PK2l7WJ3RER9xtqwdhxkhw/edit?usp=sharing"",""ตราด!J239"")"),0)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IFERROR(__xludf.DUMMYFUNCTION("IMPORTRANGE(""https://docs.google.com/spreadsheets/d/1SX6NBoVAgQJ6U1MVXOaj8PK2l7WJ3RER9xtqwdhxkhw/edit?usp=sharing"",""ตราด!I240"")"),170)</f>
        <v>170</v>
      </c>
      <c r="J345" s="188">
        <f ca="1">IFERROR(__xludf.DUMMYFUNCTION("IMPORTRANGE(""https://docs.google.com/spreadsheets/d/1SX6NBoVAgQJ6U1MVXOaj8PK2l7WJ3RER9xtqwdhxkhw/edit?usp=sharing"",""ตราด!J240"")"),43)</f>
        <v>43</v>
      </c>
      <c r="K345" s="342">
        <f t="shared" ca="1" si="103"/>
        <v>25.294117647058822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IFERROR(__xludf.DUMMYFUNCTION("IMPORTRANGE(""https://docs.google.com/spreadsheets/d/1SX6NBoVAgQJ6U1MVXOaj8PK2l7WJ3RER9xtqwdhxkhw/edit?usp=sharing"",""ตราด!I241"")"),0)</f>
        <v>0</v>
      </c>
      <c r="J346" s="188">
        <f ca="1">IFERROR(__xludf.DUMMYFUNCTION("IMPORTRANGE(""https://docs.google.com/spreadsheets/d/1SX6NBoVAgQJ6U1MVXOaj8PK2l7WJ3RER9xtqwdhxkhw/edit?usp=sharing"",""ตราด!J241"")"),817.76)</f>
        <v>817.76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IFERROR(__xludf.DUMMYFUNCTION("IMPORTRANGE(""https://docs.google.com/spreadsheets/d/1SX6NBoVAgQJ6U1MVXOaj8PK2l7WJ3RER9xtqwdhxkhw/edit?usp=sharing"",""ตราด!L242"")"),628342)</f>
        <v>628342</v>
      </c>
      <c r="M347" s="358"/>
      <c r="N347" s="358">
        <f ca="1">IFERROR(__xludf.DUMMYFUNCTION("IMPORTRANGE(""https://docs.google.com/spreadsheets/d/1SX6NBoVAgQJ6U1MVXOaj8PK2l7WJ3RER9xtqwdhxkhw/edit?usp=sharing"",""ตราด!M242"")"),271366)</f>
        <v>271366</v>
      </c>
      <c r="O347" s="358">
        <f ca="1">+IF(L347&gt;0,N347*100/L347,0)</f>
        <v>43.187627120262533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IFERROR(__xludf.DUMMYFUNCTION("IMPORTRANGE(""https://docs.google.com/spreadsheets/d/1SX6NBoVAgQJ6U1MVXOaj8PK2l7WJ3RER9xtqwdhxkhw/edit?usp=sharing"",""ตราด!I244"")"),0)</f>
        <v>0</v>
      </c>
      <c r="J349" s="371">
        <f ca="1">IFERROR(__xludf.DUMMYFUNCTION("IMPORTRANGE(""https://docs.google.com/spreadsheets/d/1SX6NBoVAgQJ6U1MVXOaj8PK2l7WJ3RER9xtqwdhxkhw/edit?usp=sharing"",""ตราด!J244"")"),0)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IFERROR(__xludf.DUMMYFUNCTION("IMPORTRANGE(""https://docs.google.com/spreadsheets/d/1SX6NBoVAgQJ6U1MVXOaj8PK2l7WJ3RER9xtqwdhxkhw/edit?usp=sharing"",""ตราด!L244"")"),0)</f>
        <v>0</v>
      </c>
      <c r="M349" s="373"/>
      <c r="N349" s="373">
        <f ca="1">IFERROR(__xludf.DUMMYFUNCTION("IMPORTRANGE(""https://docs.google.com/spreadsheets/d/1SX6NBoVAgQJ6U1MVXOaj8PK2l7WJ3RER9xtqwdhxkhw/edit?usp=sharing"",""ตราด!M244"")"),0)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IFERROR(__xludf.DUMMYFUNCTION("IMPORTRANGE(""https://docs.google.com/spreadsheets/d/1SX6NBoVAgQJ6U1MVXOaj8PK2l7WJ3RER9xtqwdhxkhw/edit?usp=sharing"",""ตราด!I245"")"),0)</f>
        <v>0</v>
      </c>
      <c r="J350" s="371">
        <f ca="1">IFERROR(__xludf.DUMMYFUNCTION("IMPORTRANGE(""https://docs.google.com/spreadsheets/d/1SX6NBoVAgQJ6U1MVXOaj8PK2l7WJ3RER9xtqwdhxkhw/edit?usp=sharing"",""ตราด!J245"")"),0)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IFERROR(__xludf.DUMMYFUNCTION("IMPORTRANGE(""https://docs.google.com/spreadsheets/d/1SX6NBoVAgQJ6U1MVXOaj8PK2l7WJ3RER9xtqwdhxkhw/edit?usp=sharing"",""ตราด!L246"")"),0)</f>
        <v>0</v>
      </c>
      <c r="M351" s="164"/>
      <c r="N351" s="164">
        <f ca="1">IFERROR(__xludf.DUMMYFUNCTION("IMPORTRANGE(""https://docs.google.com/spreadsheets/d/1SX6NBoVAgQJ6U1MVXOaj8PK2l7WJ3RER9xtqwdhxkhw/edit?usp=sharing"",""ตราด!M246"")"),0)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IFERROR(__xludf.DUMMYFUNCTION("IMPORTRANGE(""https://docs.google.com/spreadsheets/d/1SX6NBoVAgQJ6U1MVXOaj8PK2l7WJ3RER9xtqwdhxkhw/edit?usp=sharing"",""ตราด!L247"")"),0)</f>
        <v>0</v>
      </c>
      <c r="M352" s="165"/>
      <c r="N352" s="164">
        <f ca="1">IFERROR(__xludf.DUMMYFUNCTION("IMPORTRANGE(""https://docs.google.com/spreadsheets/d/1SX6NBoVAgQJ6U1MVXOaj8PK2l7WJ3RER9xtqwdhxkhw/edit?usp=sharing"",""ตราด!M247"")"),0)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IFERROR(__xludf.DUMMYFUNCTION("IMPORTRANGE(""https://docs.google.com/spreadsheets/d/1SX6NBoVAgQJ6U1MVXOaj8PK2l7WJ3RER9xtqwdhxkhw/edit?usp=sharing"",""ตราด!L248"")"),0)</f>
        <v>0</v>
      </c>
      <c r="M353" s="169"/>
      <c r="N353" s="169">
        <f ca="1">IFERROR(__xludf.DUMMYFUNCTION("IMPORTRANGE(""https://docs.google.com/spreadsheets/d/1SX6NBoVAgQJ6U1MVXOaj8PK2l7WJ3RER9xtqwdhxkhw/edit?usp=sharing"",""ตราด!M248"")"),0)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IFERROR(__xludf.DUMMYFUNCTION("IMPORTRANGE(""https://docs.google.com/spreadsheets/d/1SX6NBoVAgQJ6U1MVXOaj8PK2l7WJ3RER9xtqwdhxkhw/edit?usp=sharing"",""ตราด!L249"")"),0)</f>
        <v>0</v>
      </c>
      <c r="M354" s="169"/>
      <c r="N354" s="168">
        <f ca="1">IFERROR(__xludf.DUMMYFUNCTION("IMPORTRANGE(""https://docs.google.com/spreadsheets/d/1SX6NBoVAgQJ6U1MVXOaj8PK2l7WJ3RER9xtqwdhxkhw/edit?usp=sharing"",""ตราด!M249"")"),0)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IFERROR(__xludf.DUMMYFUNCTION("IMPORTRANGE(""https://docs.google.com/spreadsheets/d/1SX6NBoVAgQJ6U1MVXOaj8PK2l7WJ3RER9xtqwdhxkhw/edit?usp=sharing"",""ตราด!M250"")"),0)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IFERROR(__xludf.DUMMYFUNCTION("IMPORTRANGE(""https://docs.google.com/spreadsheets/d/1SX6NBoVAgQJ6U1MVXOaj8PK2l7WJ3RER9xtqwdhxkhw/edit?usp=sharing"",""ตราด!M251"")"),0)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IFERROR(__xludf.DUMMYFUNCTION("IMPORTRANGE(""https://docs.google.com/spreadsheets/d/1SX6NBoVAgQJ6U1MVXOaj8PK2l7WJ3RER9xtqwdhxkhw/edit?usp=sharing"",""ตราด!M252"")"),0)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IFERROR(__xludf.DUMMYFUNCTION("IMPORTRANGE(""https://docs.google.com/spreadsheets/d/1SX6NBoVAgQJ6U1MVXOaj8PK2l7WJ3RER9xtqwdhxkhw/edit?usp=sharing"",""ตราด!M253"")"),0)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IFERROR(__xludf.DUMMYFUNCTION("IMPORTRANGE(""https://docs.google.com/spreadsheets/d/1SX6NBoVAgQJ6U1MVXOaj8PK2l7WJ3RER9xtqwdhxkhw/edit?usp=sharing"",""ตราด!J255"")"),0)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IFERROR(__xludf.DUMMYFUNCTION("IMPORTRANGE(""https://docs.google.com/spreadsheets/d/1SX6NBoVAgQJ6U1MVXOaj8PK2l7WJ3RER9xtqwdhxkhw/edit?usp=sharing"",""ตราด!J256"")"),0)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IFERROR(__xludf.DUMMYFUNCTION("IMPORTRANGE(""https://docs.google.com/spreadsheets/d/1SX6NBoVAgQJ6U1MVXOaj8PK2l7WJ3RER9xtqwdhxkhw/edit?usp=sharing"",""ตราด!J257"")"),0)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IFERROR(__xludf.DUMMYFUNCTION("IMPORTRANGE(""https://docs.google.com/spreadsheets/d/1SX6NBoVAgQJ6U1MVXOaj8PK2l7WJ3RER9xtqwdhxkhw/edit?usp=sharing"",""ตราด!J258"")"),0)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IFERROR(__xludf.DUMMYFUNCTION("IMPORTRANGE(""https://docs.google.com/spreadsheets/d/1SX6NBoVAgQJ6U1MVXOaj8PK2l7WJ3RER9xtqwdhxkhw/edit?usp=sharing"",""ตราด!J166"")"),0)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IFERROR(__xludf.DUMMYFUNCTION("IMPORTRANGE(""https://docs.google.com/spreadsheets/d/1SX6NBoVAgQJ6U1MVXOaj8PK2l7WJ3RER9xtqwdhxkhw/edit?usp=sharing"",""ตราด!J166"")"),0)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IFERROR(__xludf.DUMMYFUNCTION("IMPORTRANGE(""https://docs.google.com/spreadsheets/d/1SX6NBoVAgQJ6U1MVXOaj8PK2l7WJ3RER9xtqwdhxkhw/edit?usp=sharing"",""ตราด!J166"")"),0)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IFERROR(__xludf.DUMMYFUNCTION("IMPORTRANGE(""https://docs.google.com/spreadsheets/d/1SX6NBoVAgQJ6U1MVXOaj8PK2l7WJ3RER9xtqwdhxkhw/edit?usp=sharing"",""ตราด!J166"")"),0)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IFERROR(__xludf.DUMMYFUNCTION("IMPORTRANGE(""https://docs.google.com/spreadsheets/d/1SX6NBoVAgQJ6U1MVXOaj8PK2l7WJ3RER9xtqwdhxkhw/edit?usp=sharing"",""ตราด!I263"")"),0)</f>
        <v>0</v>
      </c>
      <c r="J368" s="188">
        <f ca="1">IFERROR(__xludf.DUMMYFUNCTION("IMPORTRANGE(""https://docs.google.com/spreadsheets/d/1SX6NBoVAgQJ6U1MVXOaj8PK2l7WJ3RER9xtqwdhxkhw/edit?usp=sharing"",""ตราด!J263"")"),0)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IFERROR(__xludf.DUMMYFUNCTION("IMPORTRANGE(""https://docs.google.com/spreadsheets/d/1SX6NBoVAgQJ6U1MVXOaj8PK2l7WJ3RER9xtqwdhxkhw/edit?usp=sharing"",""ตราด!I164"")"),0)</f>
        <v>0</v>
      </c>
      <c r="J369" s="204">
        <f ca="1">IFERROR(__xludf.DUMMYFUNCTION("IMPORTRANGE(""https://docs.google.com/spreadsheets/d/1SX6NBoVAgQJ6U1MVXOaj8PK2l7WJ3RER9xtqwdhxkhw/edit?usp=sharing"",""ตราด!J164"")"),0)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IFERROR(__xludf.DUMMYFUNCTION("IMPORTRANGE(""https://docs.google.com/spreadsheets/d/1SX6NBoVAgQJ6U1MVXOaj8PK2l7WJ3RER9xtqwdhxkhw/edit?usp=sharing"",""ตราด!I265"")"),0)</f>
        <v>0</v>
      </c>
      <c r="J370" s="204">
        <f ca="1">IFERROR(__xludf.DUMMYFUNCTION("IMPORTRANGE(""https://docs.google.com/spreadsheets/d/1SX6NBoVAgQJ6U1MVXOaj8PK2l7WJ3RER9xtqwdhxkhw/edit?usp=sharing"",""ตราด!J265"")"),0)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IFERROR(__xludf.DUMMYFUNCTION("IMPORTRANGE(""https://docs.google.com/spreadsheets/d/1SX6NBoVAgQJ6U1MVXOaj8PK2l7WJ3RER9xtqwdhxkhw/edit?usp=sharing"",""ตราด!I164"")"),0)</f>
        <v>0</v>
      </c>
      <c r="J371" s="189">
        <f ca="1">IFERROR(__xludf.DUMMYFUNCTION("IMPORTRANGE(""https://docs.google.com/spreadsheets/d/1SX6NBoVAgQJ6U1MVXOaj8PK2l7WJ3RER9xtqwdhxkhw/edit?usp=sharing"",""ตราด!J164"")"),0)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IFERROR(__xludf.DUMMYFUNCTION("IMPORTRANGE(""https://docs.google.com/spreadsheets/d/1SX6NBoVAgQJ6U1MVXOaj8PK2l7WJ3RER9xtqwdhxkhw/edit?usp=sharing"",""ตราด!I267"")"),0)</f>
        <v>0</v>
      </c>
      <c r="J372" s="189">
        <f ca="1">IFERROR(__xludf.DUMMYFUNCTION("IMPORTRANGE(""https://docs.google.com/spreadsheets/d/1SX6NBoVAgQJ6U1MVXOaj8PK2l7WJ3RER9xtqwdhxkhw/edit?usp=sharing"",""ตราด!J267"")"),0)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IFERROR(__xludf.DUMMYFUNCTION("IMPORTRANGE(""https://docs.google.com/spreadsheets/d/1SX6NBoVAgQJ6U1MVXOaj8PK2l7WJ3RER9xtqwdhxkhw/edit?usp=sharing"",""ตราด!I164"")"),0)</f>
        <v>0</v>
      </c>
      <c r="J373" s="204">
        <f ca="1">IFERROR(__xludf.DUMMYFUNCTION("IMPORTRANGE(""https://docs.google.com/spreadsheets/d/1SX6NBoVAgQJ6U1MVXOaj8PK2l7WJ3RER9xtqwdhxkhw/edit?usp=sharing"",""ตราด!J164"")"),0)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IFERROR(__xludf.DUMMYFUNCTION("IMPORTRANGE(""https://docs.google.com/spreadsheets/d/1SX6NBoVAgQJ6U1MVXOaj8PK2l7WJ3RER9xtqwdhxkhw/edit?usp=sharing"",""ตราด!I164"")"),0)</f>
        <v>0</v>
      </c>
      <c r="J374" s="188">
        <f ca="1">IFERROR(__xludf.DUMMYFUNCTION("IMPORTRANGE(""https://docs.google.com/spreadsheets/d/1SX6NBoVAgQJ6U1MVXOaj8PK2l7WJ3RER9xtqwdhxkhw/edit?usp=sharing"",""ตราด!J164"")"),0)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IFERROR(__xludf.DUMMYFUNCTION("IMPORTRANGE(""https://docs.google.com/spreadsheets/d/1SX6NBoVAgQJ6U1MVXOaj8PK2l7WJ3RER9xtqwdhxkhw/edit?usp=sharing"",""ตราด!I270"")"),0)</f>
        <v>0</v>
      </c>
      <c r="J375" s="188">
        <f ca="1">IFERROR(__xludf.DUMMYFUNCTION("IMPORTRANGE(""https://docs.google.com/spreadsheets/d/1SX6NBoVAgQJ6U1MVXOaj8PK2l7WJ3RER9xtqwdhxkhw/edit?usp=sharing"",""ตราด!J270"")"),0)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IFERROR(__xludf.DUMMYFUNCTION("IMPORTRANGE(""https://docs.google.com/spreadsheets/d/1SX6NBoVAgQJ6U1MVXOaj8PK2l7WJ3RER9xtqwdhxkhw/edit?usp=sharing"",""ตราด!I271"")"),0)</f>
        <v>0</v>
      </c>
      <c r="J376" s="189">
        <f ca="1">IFERROR(__xludf.DUMMYFUNCTION("IMPORTRANGE(""https://docs.google.com/spreadsheets/d/1SX6NBoVAgQJ6U1MVXOaj8PK2l7WJ3RER9xtqwdhxkhw/edit?usp=sharing"",""ตราด!J271"")"),0)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IFERROR(__xludf.DUMMYFUNCTION("IMPORTRANGE(""https://docs.google.com/spreadsheets/d/1SX6NBoVAgQJ6U1MVXOaj8PK2l7WJ3RER9xtqwdhxkhw/edit?usp=sharing"",""ตราด!I272"")"),0)</f>
        <v>0</v>
      </c>
      <c r="J377" s="204">
        <f ca="1">IFERROR(__xludf.DUMMYFUNCTION("IMPORTRANGE(""https://docs.google.com/spreadsheets/d/1SX6NBoVAgQJ6U1MVXOaj8PK2l7WJ3RER9xtqwdhxkhw/edit?usp=sharing"",""ตราด!J272"")"),0)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IFERROR(__xludf.DUMMYFUNCTION("IMPORTRANGE(""https://docs.google.com/spreadsheets/d/1SX6NBoVAgQJ6U1MVXOaj8PK2l7WJ3RER9xtqwdhxkhw/edit?usp=sharing"",""ตราด!J273"")"),0)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IFERROR(__xludf.DUMMYFUNCTION("IMPORTRANGE(""https://docs.google.com/spreadsheets/d/1SX6NBoVAgQJ6U1MVXOaj8PK2l7WJ3RER9xtqwdhxkhw/edit?usp=sharing"",""ตราด!J274"")"),0)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IFERROR(__xludf.DUMMYFUNCTION("IMPORTRANGE(""https://docs.google.com/spreadsheets/d/1SX6NBoVAgQJ6U1MVXOaj8PK2l7WJ3RER9xtqwdhxkhw/edit?usp=sharing"",""ตราด!I275"")"),200)</f>
        <v>200</v>
      </c>
      <c r="J380" s="371">
        <f ca="1">IFERROR(__xludf.DUMMYFUNCTION("IMPORTRANGE(""https://docs.google.com/spreadsheets/d/1SX6NBoVAgQJ6U1MVXOaj8PK2l7WJ3RER9xtqwdhxkhw/edit?usp=sharing"",""ตราด!J275"")"),0)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IFERROR(__xludf.DUMMYFUNCTION("IMPORTRANGE(""https://docs.google.com/spreadsheets/d/1SX6NBoVAgQJ6U1MVXOaj8PK2l7WJ3RER9xtqwdhxkhw/edit?usp=sharing"",""ตราด!L275"")"),207560)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IFERROR(__xludf.DUMMYFUNCTION("IMPORTRANGE(""https://docs.google.com/spreadsheets/d/1SX6NBoVAgQJ6U1MVXOaj8PK2l7WJ3RER9xtqwdhxkhw/edit?usp=sharing"",""ตราด!M275"")"),69229)</f>
        <v>69229</v>
      </c>
      <c r="O380" s="373">
        <f ca="1">+IF(L380&gt;0,N380*100/L380,0)</f>
        <v>33.353729042204662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IFERROR(__xludf.DUMMYFUNCTION("IMPORTRANGE(""https://docs.google.com/spreadsheets/d/1SX6NBoVAgQJ6U1MVXOaj8PK2l7WJ3RER9xtqwdhxkhw/edit?usp=sharing"",""ตราด!I276"")"),20)</f>
        <v>20</v>
      </c>
      <c r="J381" s="371">
        <f ca="1">IFERROR(__xludf.DUMMYFUNCTION("IMPORTRANGE(""https://docs.google.com/spreadsheets/d/1SX6NBoVAgQJ6U1MVXOaj8PK2l7WJ3RER9xtqwdhxkhw/edit?usp=sharing"",""ตราด!J276"")"),20)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IFERROR(__xludf.DUMMYFUNCTION("IMPORTRANGE(""https://docs.google.com/spreadsheets/d/1SX6NBoVAgQJ6U1MVXOaj8PK2l7WJ3RER9xtqwdhxkhw/edit?usp=sharing"",""ตราด!L277"")"),0)</f>
        <v>0</v>
      </c>
      <c r="M382" s="164"/>
      <c r="N382" s="164">
        <f ca="1">IFERROR(__xludf.DUMMYFUNCTION("IMPORTRANGE(""https://docs.google.com/spreadsheets/d/1SX6NBoVAgQJ6U1MVXOaj8PK2l7WJ3RER9xtqwdhxkhw/edit?usp=sharing"",""ตราด!M277"")"),0)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IFERROR(__xludf.DUMMYFUNCTION("IMPORTRANGE(""https://docs.google.com/spreadsheets/d/1SX6NBoVAgQJ6U1MVXOaj8PK2l7WJ3RER9xtqwdhxkhw/edit?usp=sharing"",""ตราด!L278"")"),207560)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IFERROR(__xludf.DUMMYFUNCTION("IMPORTRANGE(""https://docs.google.com/spreadsheets/d/1SX6NBoVAgQJ6U1MVXOaj8PK2l7WJ3RER9xtqwdhxkhw/edit?usp=sharing"",""ตราด!M278"")"),69229)</f>
        <v>69229</v>
      </c>
      <c r="O383" s="165">
        <f t="shared" ca="1" si="109"/>
        <v>33.353729042204662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IFERROR(__xludf.DUMMYFUNCTION("IMPORTRANGE(""https://docs.google.com/spreadsheets/d/1SX6NBoVAgQJ6U1MVXOaj8PK2l7WJ3RER9xtqwdhxkhw/edit?usp=sharing"",""ตราด!L279"")"),0)</f>
        <v>0</v>
      </c>
      <c r="M384" s="169"/>
      <c r="N384" s="169">
        <f ca="1">IFERROR(__xludf.DUMMYFUNCTION("IMPORTRANGE(""https://docs.google.com/spreadsheets/d/1SX6NBoVAgQJ6U1MVXOaj8PK2l7WJ3RER9xtqwdhxkhw/edit?usp=sharing"",""ตราด!M279"")"),0)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IFERROR(__xludf.DUMMYFUNCTION("IMPORTRANGE(""https://docs.google.com/spreadsheets/d/1SX6NBoVAgQJ6U1MVXOaj8PK2l7WJ3RER9xtqwdhxkhw/edit?usp=sharing"",""ตราด!L280"")"),207560)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IFERROR(__xludf.DUMMYFUNCTION("IMPORTRANGE(""https://docs.google.com/spreadsheets/d/1SX6NBoVAgQJ6U1MVXOaj8PK2l7WJ3RER9xtqwdhxkhw/edit?usp=sharing"",""ตราด!M280"")"),69229)</f>
        <v>69229</v>
      </c>
      <c r="O385" s="169">
        <f t="shared" ca="1" si="109"/>
        <v>33.353729042204662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IFERROR(__xludf.DUMMYFUNCTION("IMPORTRANGE(""https://docs.google.com/spreadsheets/d/1SX6NBoVAgQJ6U1MVXOaj8PK2l7WJ3RER9xtqwdhxkhw/edit?usp=sharing"",""ตราด!M281"")"),58800)</f>
        <v>58800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IFERROR(__xludf.DUMMYFUNCTION("IMPORTRANGE(""https://docs.google.com/spreadsheets/d/1SX6NBoVAgQJ6U1MVXOaj8PK2l7WJ3RER9xtqwdhxkhw/edit?usp=sharing"",""ตราด!M282"")"),0)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IFERROR(__xludf.DUMMYFUNCTION("IMPORTRANGE(""https://docs.google.com/spreadsheets/d/1SX6NBoVAgQJ6U1MVXOaj8PK2l7WJ3RER9xtqwdhxkhw/edit?usp=sharing"",""ตราด!M283"")"),0)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IFERROR(__xludf.DUMMYFUNCTION("IMPORTRANGE(""https://docs.google.com/spreadsheets/d/1SX6NBoVAgQJ6U1MVXOaj8PK2l7WJ3RER9xtqwdhxkhw/edit?usp=sharing"",""ตราด!M284"")"),10429)</f>
        <v>10429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IFERROR(__xludf.DUMMYFUNCTION("IMPORTRANGE(""https://docs.google.com/spreadsheets/d/1SX6NBoVAgQJ6U1MVXOaj8PK2l7WJ3RER9xtqwdhxkhw/edit?usp=sharing"",""ตราด!J286"")"),0)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IFERROR(__xludf.DUMMYFUNCTION("IMPORTRANGE(""https://docs.google.com/spreadsheets/d/1SX6NBoVAgQJ6U1MVXOaj8PK2l7WJ3RER9xtqwdhxkhw/edit?usp=sharing"",""ตราด!J287"")"),1)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IFERROR(__xludf.DUMMYFUNCTION("IMPORTRANGE(""https://docs.google.com/spreadsheets/d/1SX6NBoVAgQJ6U1MVXOaj8PK2l7WJ3RER9xtqwdhxkhw/edit?usp=sharing"",""ตราด!J288"")"),1)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IFERROR(__xludf.DUMMYFUNCTION("IMPORTRANGE(""https://docs.google.com/spreadsheets/d/1SX6NBoVAgQJ6U1MVXOaj8PK2l7WJ3RER9xtqwdhxkhw/edit?usp=sharing"",""ตราด!J289"")"),1)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IFERROR(__xludf.DUMMYFUNCTION("IMPORTRANGE(""https://docs.google.com/spreadsheets/d/1SX6NBoVAgQJ6U1MVXOaj8PK2l7WJ3RER9xtqwdhxkhw/edit?usp=sharing"",""ตราด!I291"")"),20)</f>
        <v>20</v>
      </c>
      <c r="J396" s="198">
        <f ca="1">IFERROR(__xludf.DUMMYFUNCTION("IMPORTRANGE(""https://docs.google.com/spreadsheets/d/1SX6NBoVAgQJ6U1MVXOaj8PK2l7WJ3RER9xtqwdhxkhw/edit?usp=sharing"",""ตราด!J291"")"),20)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IFERROR(__xludf.DUMMYFUNCTION("IMPORTRANGE(""https://docs.google.com/spreadsheets/d/1SX6NBoVAgQJ6U1MVXOaj8PK2l7WJ3RER9xtqwdhxkhw/edit?usp=sharing"",""ตราด!I292"")"),200)</f>
        <v>200</v>
      </c>
      <c r="J397" s="198">
        <f ca="1">IFERROR(__xludf.DUMMYFUNCTION("IMPORTRANGE(""https://docs.google.com/spreadsheets/d/1SX6NBoVAgQJ6U1MVXOaj8PK2l7WJ3RER9xtqwdhxkhw/edit?usp=sharing"",""ตราด!J292"")"),0)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IFERROR(__xludf.DUMMYFUNCTION("IMPORTRANGE(""https://docs.google.com/spreadsheets/d/1SX6NBoVAgQJ6U1MVXOaj8PK2l7WJ3RER9xtqwdhxkhw/edit?usp=sharing"",""ตราด!I293"")"),20)</f>
        <v>20</v>
      </c>
      <c r="J398" s="198">
        <f ca="1">IFERROR(__xludf.DUMMYFUNCTION("IMPORTRANGE(""https://docs.google.com/spreadsheets/d/1SX6NBoVAgQJ6U1MVXOaj8PK2l7WJ3RER9xtqwdhxkhw/edit?usp=sharing"",""ตราด!J293"")"),0)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IFERROR(__xludf.DUMMYFUNCTION("IMPORTRANGE(""https://docs.google.com/spreadsheets/d/1SX6NBoVAgQJ6U1MVXOaj8PK2l7WJ3RER9xtqwdhxkhw/edit?usp=sharing"",""ตราด!J294"")"),0)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IFERROR(__xludf.DUMMYFUNCTION("IMPORTRANGE(""https://docs.google.com/spreadsheets/d/1SX6NBoVAgQJ6U1MVXOaj8PK2l7WJ3RER9xtqwdhxkhw/edit?usp=sharing"",""ตราด!J295"")"),0)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IFERROR(__xludf.DUMMYFUNCTION("IMPORTRANGE(""https://docs.google.com/spreadsheets/d/1SX6NBoVAgQJ6U1MVXOaj8PK2l7WJ3RER9xtqwdhxkhw/edit?usp=sharing"",""ตราด!I296"")"),90)</f>
        <v>90</v>
      </c>
      <c r="J401" s="371">
        <f ca="1">IFERROR(__xludf.DUMMYFUNCTION("IMPORTRANGE(""https://docs.google.com/spreadsheets/d/1SX6NBoVAgQJ6U1MVXOaj8PK2l7WJ3RER9xtqwdhxkhw/edit?usp=sharing"",""ตราด!J296"")"),90)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IFERROR(__xludf.DUMMYFUNCTION("IMPORTRANGE(""https://docs.google.com/spreadsheets/d/1SX6NBoVAgQJ6U1MVXOaj8PK2l7WJ3RER9xtqwdhxkhw/edit?usp=sharing"",""ตราด!L296"")"),116320)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IFERROR(__xludf.DUMMYFUNCTION("IMPORTRANGE(""https://docs.google.com/spreadsheets/d/1SX6NBoVAgQJ6U1MVXOaj8PK2l7WJ3RER9xtqwdhxkhw/edit?usp=sharing"",""ตราด!M296"")"),97565)</f>
        <v>97565</v>
      </c>
      <c r="O401" s="373">
        <f ca="1">+IF(L401&gt;0,N401*100/L401,0)</f>
        <v>83.876375515818438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IFERROR(__xludf.DUMMYFUNCTION("IMPORTRANGE(""https://docs.google.com/spreadsheets/d/1SX6NBoVAgQJ6U1MVXOaj8PK2l7WJ3RER9xtqwdhxkhw/edit?usp=sharing"",""ตราด!I297"")"),30)</f>
        <v>30</v>
      </c>
      <c r="J402" s="371">
        <f ca="1">IFERROR(__xludf.DUMMYFUNCTION("IMPORTRANGE(""https://docs.google.com/spreadsheets/d/1SX6NBoVAgQJ6U1MVXOaj8PK2l7WJ3RER9xtqwdhxkhw/edit?usp=sharing"",""ตราด!J297"")"),30)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IFERROR(__xludf.DUMMYFUNCTION("IMPORTRANGE(""https://docs.google.com/spreadsheets/d/1SX6NBoVAgQJ6U1MVXOaj8PK2l7WJ3RER9xtqwdhxkhw/edit?usp=sharing"",""ตราด!L298"")"),0)</f>
        <v>0</v>
      </c>
      <c r="M403" s="164"/>
      <c r="N403" s="169">
        <f ca="1">IFERROR(__xludf.DUMMYFUNCTION("IMPORTRANGE(""https://docs.google.com/spreadsheets/d/1SX6NBoVAgQJ6U1MVXOaj8PK2l7WJ3RER9xtqwdhxkhw/edit?usp=sharing"",""ตราด!M298"")"),0)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IFERROR(__xludf.DUMMYFUNCTION("IMPORTRANGE(""https://docs.google.com/spreadsheets/d/1SX6NBoVAgQJ6U1MVXOaj8PK2l7WJ3RER9xtqwdhxkhw/edit?usp=sharing"",""ตราด!L299"")"),116320)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IFERROR(__xludf.DUMMYFUNCTION("IMPORTRANGE(""https://docs.google.com/spreadsheets/d/1SX6NBoVAgQJ6U1MVXOaj8PK2l7WJ3RER9xtqwdhxkhw/edit?usp=sharing"",""ตราด!M299"")"),97565)</f>
        <v>97565</v>
      </c>
      <c r="O404" s="169">
        <f t="shared" ca="1" si="112"/>
        <v>83.876375515818438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IFERROR(__xludf.DUMMYFUNCTION("IMPORTRANGE(""https://docs.google.com/spreadsheets/d/1SX6NBoVAgQJ6U1MVXOaj8PK2l7WJ3RER9xtqwdhxkhw/edit?usp=sharing"",""ตราด!L300"")"),0)</f>
        <v>0</v>
      </c>
      <c r="M405" s="169"/>
      <c r="N405" s="169">
        <f ca="1">IFERROR(__xludf.DUMMYFUNCTION("IMPORTRANGE(""https://docs.google.com/spreadsheets/d/1SX6NBoVAgQJ6U1MVXOaj8PK2l7WJ3RER9xtqwdhxkhw/edit?usp=sharing"",""ตราด!M300"")"),0)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IFERROR(__xludf.DUMMYFUNCTION("IMPORTRANGE(""https://docs.google.com/spreadsheets/d/1SX6NBoVAgQJ6U1MVXOaj8PK2l7WJ3RER9xtqwdhxkhw/edit?usp=sharing"",""ตราด!L301"")"),116320)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IFERROR(__xludf.DUMMYFUNCTION("IMPORTRANGE(""https://docs.google.com/spreadsheets/d/1SX6NBoVAgQJ6U1MVXOaj8PK2l7WJ3RER9xtqwdhxkhw/edit?usp=sharing"",""ตราด!M301"")"),97565)</f>
        <v>97565</v>
      </c>
      <c r="O406" s="169">
        <f t="shared" ca="1" si="112"/>
        <v>83.876375515818438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IFERROR(__xludf.DUMMYFUNCTION("IMPORTRANGE(""https://docs.google.com/spreadsheets/d/1SX6NBoVAgQJ6U1MVXOaj8PK2l7WJ3RER9xtqwdhxkhw/edit?usp=sharing"",""ตราด!M302"")"),69500)</f>
        <v>69500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IFERROR(__xludf.DUMMYFUNCTION("IMPORTRANGE(""https://docs.google.com/spreadsheets/d/1SX6NBoVAgQJ6U1MVXOaj8PK2l7WJ3RER9xtqwdhxkhw/edit?usp=sharing"",""ตราด!M303"")"),22000)</f>
        <v>22000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IFERROR(__xludf.DUMMYFUNCTION("IMPORTRANGE(""https://docs.google.com/spreadsheets/d/1SX6NBoVAgQJ6U1MVXOaj8PK2l7WJ3RER9xtqwdhxkhw/edit?usp=sharing"",""ตราด!M304"")"),0)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IFERROR(__xludf.DUMMYFUNCTION("IMPORTRANGE(""https://docs.google.com/spreadsheets/d/1SX6NBoVAgQJ6U1MVXOaj8PK2l7WJ3RER9xtqwdhxkhw/edit?usp=sharing"",""ตราด!M305"")"),6065)</f>
        <v>6065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IFERROR(__xludf.DUMMYFUNCTION("IMPORTRANGE(""https://docs.google.com/spreadsheets/d/1SX6NBoVAgQJ6U1MVXOaj8PK2l7WJ3RER9xtqwdhxkhw/edit?usp=sharing"",""ตราด!J307"")"),0)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IFERROR(__xludf.DUMMYFUNCTION("IMPORTRANGE(""https://docs.google.com/spreadsheets/d/1SX6NBoVAgQJ6U1MVXOaj8PK2l7WJ3RER9xtqwdhxkhw/edit?usp=sharing"",""ตราด!J308"")"),1)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IFERROR(__xludf.DUMMYFUNCTION("IMPORTRANGE(""https://docs.google.com/spreadsheets/d/1SX6NBoVAgQJ6U1MVXOaj8PK2l7WJ3RER9xtqwdhxkhw/edit?usp=sharing"",""ตราด!J309"")"),1)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IFERROR(__xludf.DUMMYFUNCTION("IMPORTRANGE(""https://docs.google.com/spreadsheets/d/1SX6NBoVAgQJ6U1MVXOaj8PK2l7WJ3RER9xtqwdhxkhw/edit?usp=sharing"",""ตราด!J310"")"),1)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IFERROR(__xludf.DUMMYFUNCTION("IMPORTRANGE(""https://docs.google.com/spreadsheets/d/1SX6NBoVAgQJ6U1MVXOaj8PK2l7WJ3RER9xtqwdhxkhw/edit?usp=sharing"",""ตราด!I311"")"),30)</f>
        <v>30</v>
      </c>
      <c r="J416" s="201">
        <f ca="1">IFERROR(__xludf.DUMMYFUNCTION("IMPORTRANGE(""https://docs.google.com/spreadsheets/d/1SX6NBoVAgQJ6U1MVXOaj8PK2l7WJ3RER9xtqwdhxkhw/edit?usp=sharing"",""ตราด!J311"")"),30)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IFERROR(__xludf.DUMMYFUNCTION("IMPORTRANGE(""https://docs.google.com/spreadsheets/d/1SX6NBoVAgQJ6U1MVXOaj8PK2l7WJ3RER9xtqwdhxkhw/edit?usp=sharing"",""ตราด!I312"")"),10)</f>
        <v>10</v>
      </c>
      <c r="J417" s="392">
        <f ca="1">IFERROR(__xludf.DUMMYFUNCTION("IMPORTRANGE(""https://docs.google.com/spreadsheets/d/1SX6NBoVAgQJ6U1MVXOaj8PK2l7WJ3RER9xtqwdhxkhw/edit?usp=sharing"",""ตราด!J312"")"),10)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IFERROR(__xludf.DUMMYFUNCTION("IMPORTRANGE(""https://docs.google.com/spreadsheets/d/1SX6NBoVAgQJ6U1MVXOaj8PK2l7WJ3RER9xtqwdhxkhw/edit?usp=sharing"",""ตราด!I313"")"),30)</f>
        <v>30</v>
      </c>
      <c r="J418" s="393">
        <f ca="1">IFERROR(__xludf.DUMMYFUNCTION("IMPORTRANGE(""https://docs.google.com/spreadsheets/d/1SX6NBoVAgQJ6U1MVXOaj8PK2l7WJ3RER9xtqwdhxkhw/edit?usp=sharing"",""ตราด!J313"")"),30)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IFERROR(__xludf.DUMMYFUNCTION("IMPORTRANGE(""https://docs.google.com/spreadsheets/d/1SX6NBoVAgQJ6U1MVXOaj8PK2l7WJ3RER9xtqwdhxkhw/edit?usp=sharing"",""ตราด!I314"")"),10)</f>
        <v>10</v>
      </c>
      <c r="J419" s="394">
        <f ca="1">IFERROR(__xludf.DUMMYFUNCTION("IMPORTRANGE(""https://docs.google.com/spreadsheets/d/1SX6NBoVAgQJ6U1MVXOaj8PK2l7WJ3RER9xtqwdhxkhw/edit?usp=sharing"",""ตราด!J314"")"),10)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IFERROR(__xludf.DUMMYFUNCTION("IMPORTRANGE(""https://docs.google.com/spreadsheets/d/1SX6NBoVAgQJ6U1MVXOaj8PK2l7WJ3RER9xtqwdhxkhw/edit?usp=sharing"",""ตราด!I315"")"),10)</f>
        <v>10</v>
      </c>
      <c r="J420" s="394">
        <f ca="1">IFERROR(__xludf.DUMMYFUNCTION("IMPORTRANGE(""https://docs.google.com/spreadsheets/d/1SX6NBoVAgQJ6U1MVXOaj8PK2l7WJ3RER9xtqwdhxkhw/edit?usp=sharing"",""ตราด!J315"")"),10)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IFERROR(__xludf.DUMMYFUNCTION("IMPORTRANGE(""https://docs.google.com/spreadsheets/d/1SX6NBoVAgQJ6U1MVXOaj8PK2l7WJ3RER9xtqwdhxkhw/edit?usp=sharing"",""ตราด!I316"")"),10)</f>
        <v>10</v>
      </c>
      <c r="J421" s="392">
        <f ca="1">IFERROR(__xludf.DUMMYFUNCTION("IMPORTRANGE(""https://docs.google.com/spreadsheets/d/1SX6NBoVAgQJ6U1MVXOaj8PK2l7WJ3RER9xtqwdhxkhw/edit?usp=sharing"",""ตราด!J316"")"),10)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IFERROR(__xludf.DUMMYFUNCTION("IMPORTRANGE(""https://docs.google.com/spreadsheets/d/1SX6NBoVAgQJ6U1MVXOaj8PK2l7WJ3RER9xtqwdhxkhw/edit?usp=sharing"",""ตราด!I317"")"),30)</f>
        <v>30</v>
      </c>
      <c r="J422" s="393">
        <f ca="1">IFERROR(__xludf.DUMMYFUNCTION("IMPORTRANGE(""https://docs.google.com/spreadsheets/d/1SX6NBoVAgQJ6U1MVXOaj8PK2l7WJ3RER9xtqwdhxkhw/edit?usp=sharing"",""ตราด!J317"")"),30)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IFERROR(__xludf.DUMMYFUNCTION("IMPORTRANGE(""https://docs.google.com/spreadsheets/d/1SX6NBoVAgQJ6U1MVXOaj8PK2l7WJ3RER9xtqwdhxkhw/edit?usp=sharing"",""ตราด!I318"")"),10)</f>
        <v>10</v>
      </c>
      <c r="J423" s="394">
        <f ca="1">IFERROR(__xludf.DUMMYFUNCTION("IMPORTRANGE(""https://docs.google.com/spreadsheets/d/1SX6NBoVAgQJ6U1MVXOaj8PK2l7WJ3RER9xtqwdhxkhw/edit?usp=sharing"",""ตราด!J318"")"),10)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IFERROR(__xludf.DUMMYFUNCTION("IMPORTRANGE(""https://docs.google.com/spreadsheets/d/1SX6NBoVAgQJ6U1MVXOaj8PK2l7WJ3RER9xtqwdhxkhw/edit?usp=sharing"",""ตราด!I319"")"),10)</f>
        <v>10</v>
      </c>
      <c r="J424" s="394">
        <f ca="1">IFERROR(__xludf.DUMMYFUNCTION("IMPORTRANGE(""https://docs.google.com/spreadsheets/d/1SX6NBoVAgQJ6U1MVXOaj8PK2l7WJ3RER9xtqwdhxkhw/edit?usp=sharing"",""ตราด!J319"")"),10)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IFERROR(__xludf.DUMMYFUNCTION("IMPORTRANGE(""https://docs.google.com/spreadsheets/d/1SX6NBoVAgQJ6U1MVXOaj8PK2l7WJ3RER9xtqwdhxkhw/edit?usp=sharing"",""ตราด!I320"")"),10)</f>
        <v>10</v>
      </c>
      <c r="J425" s="394">
        <f ca="1">IFERROR(__xludf.DUMMYFUNCTION("IMPORTRANGE(""https://docs.google.com/spreadsheets/d/1SX6NBoVAgQJ6U1MVXOaj8PK2l7WJ3RER9xtqwdhxkhw/edit?usp=sharing"",""ตราด!J320"")"),10)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IFERROR(__xludf.DUMMYFUNCTION("IMPORTRANGE(""https://docs.google.com/spreadsheets/d/1SX6NBoVAgQJ6U1MVXOaj8PK2l7WJ3RER9xtqwdhxkhw/edit?usp=sharing"",""ตราด!I321"")"),10)</f>
        <v>10</v>
      </c>
      <c r="J426" s="392">
        <f ca="1">IFERROR(__xludf.DUMMYFUNCTION("IMPORTRANGE(""https://docs.google.com/spreadsheets/d/1SX6NBoVAgQJ6U1MVXOaj8PK2l7WJ3RER9xtqwdhxkhw/edit?usp=sharing"",""ตราด!J321"")"),10)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IFERROR(__xludf.DUMMYFUNCTION("IMPORTRANGE(""https://docs.google.com/spreadsheets/d/1SX6NBoVAgQJ6U1MVXOaj8PK2l7WJ3RER9xtqwdhxkhw/edit?usp=sharing"",""ตราด!I322"")"),30)</f>
        <v>30</v>
      </c>
      <c r="J427" s="393">
        <f ca="1">IFERROR(__xludf.DUMMYFUNCTION("IMPORTRANGE(""https://docs.google.com/spreadsheets/d/1SX6NBoVAgQJ6U1MVXOaj8PK2l7WJ3RER9xtqwdhxkhw/edit?usp=sharing"",""ตราด!J322"")"),30)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IFERROR(__xludf.DUMMYFUNCTION("IMPORTRANGE(""https://docs.google.com/spreadsheets/d/1SX6NBoVAgQJ6U1MVXOaj8PK2l7WJ3RER9xtqwdhxkhw/edit?usp=sharing"",""ตราด!I323"")"),10)</f>
        <v>10</v>
      </c>
      <c r="J428" s="394">
        <f ca="1">IFERROR(__xludf.DUMMYFUNCTION("IMPORTRANGE(""https://docs.google.com/spreadsheets/d/1SX6NBoVAgQJ6U1MVXOaj8PK2l7WJ3RER9xtqwdhxkhw/edit?usp=sharing"",""ตราด!J323"")"),10)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IFERROR(__xludf.DUMMYFUNCTION("IMPORTRANGE(""https://docs.google.com/spreadsheets/d/1SX6NBoVAgQJ6U1MVXOaj8PK2l7WJ3RER9xtqwdhxkhw/edit?usp=sharing"",""ตราด!I324"")"),10)</f>
        <v>10</v>
      </c>
      <c r="J429" s="394">
        <f ca="1">IFERROR(__xludf.DUMMYFUNCTION("IMPORTRANGE(""https://docs.google.com/spreadsheets/d/1SX6NBoVAgQJ6U1MVXOaj8PK2l7WJ3RER9xtqwdhxkhw/edit?usp=sharing"",""ตราด!J324"")"),10)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IFERROR(__xludf.DUMMYFUNCTION("IMPORTRANGE(""https://docs.google.com/spreadsheets/d/1SX6NBoVAgQJ6U1MVXOaj8PK2l7WJ3RER9xtqwdhxkhw/edit?usp=sharing"",""ตราด!I325"")"),20)</f>
        <v>20</v>
      </c>
      <c r="J430" s="392">
        <f ca="1">IFERROR(__xludf.DUMMYFUNCTION("IMPORTRANGE(""https://docs.google.com/spreadsheets/d/1SX6NBoVAgQJ6U1MVXOaj8PK2l7WJ3RER9xtqwdhxkhw/edit?usp=sharing"",""ตราด!J325"")"),20)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IFERROR(__xludf.DUMMYFUNCTION("IMPORTRANGE(""https://docs.google.com/spreadsheets/d/1SX6NBoVAgQJ6U1MVXOaj8PK2l7WJ3RER9xtqwdhxkhw/edit?usp=sharing"",""ตราด!I326"")"),10)</f>
        <v>10</v>
      </c>
      <c r="J431" s="394">
        <f ca="1">IFERROR(__xludf.DUMMYFUNCTION("IMPORTRANGE(""https://docs.google.com/spreadsheets/d/1SX6NBoVAgQJ6U1MVXOaj8PK2l7WJ3RER9xtqwdhxkhw/edit?usp=sharing"",""ตราด!J326"")"),10)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IFERROR(__xludf.DUMMYFUNCTION("IMPORTRANGE(""https://docs.google.com/spreadsheets/d/1SX6NBoVAgQJ6U1MVXOaj8PK2l7WJ3RER9xtqwdhxkhw/edit?usp=sharing"",""ตราด!I327"")"),10)</f>
        <v>10</v>
      </c>
      <c r="J432" s="394">
        <f ca="1">IFERROR(__xludf.DUMMYFUNCTION("IMPORTRANGE(""https://docs.google.com/spreadsheets/d/1SX6NBoVAgQJ6U1MVXOaj8PK2l7WJ3RER9xtqwdhxkhw/edit?usp=sharing"",""ตราด!J327"")"),10)</f>
        <v>10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IFERROR(__xludf.DUMMYFUNCTION("IMPORTRANGE(""https://docs.google.com/spreadsheets/d/1SX6NBoVAgQJ6U1MVXOaj8PK2l7WJ3RER9xtqwdhxkhw/edit?usp=sharing"",""ตราด!J328"")"),0)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IFERROR(__xludf.DUMMYFUNCTION("IMPORTRANGE(""https://docs.google.com/spreadsheets/d/1SX6NBoVAgQJ6U1MVXOaj8PK2l7WJ3RER9xtqwdhxkhw/edit?usp=sharing"",""ตราด!J329"")"),0)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IFERROR(__xludf.DUMMYFUNCTION("IMPORTRANGE(""https://docs.google.com/spreadsheets/d/1SX6NBoVAgQJ6U1MVXOaj8PK2l7WJ3RER9xtqwdhxkhw/edit?usp=sharing"",""ตราด!I330"")"),10)</f>
        <v>10</v>
      </c>
      <c r="J435" s="410">
        <f ca="1">IFERROR(__xludf.DUMMYFUNCTION("IMPORTRANGE(""https://docs.google.com/spreadsheets/d/1SX6NBoVAgQJ6U1MVXOaj8PK2l7WJ3RER9xtqwdhxkhw/edit?usp=sharing"",""ตราด!J330"")"),10)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IFERROR(__xludf.DUMMYFUNCTION("IMPORTRANGE(""https://docs.google.com/spreadsheets/d/1SX6NBoVAgQJ6U1MVXOaj8PK2l7WJ3RER9xtqwdhxkhw/edit?usp=sharing"",""ตราด!L330"")"),77000)</f>
        <v>77000</v>
      </c>
      <c r="M435" s="412"/>
      <c r="N435" s="412">
        <f ca="1">IFERROR(__xludf.DUMMYFUNCTION("IMPORTRANGE(""https://docs.google.com/spreadsheets/d/1SX6NBoVAgQJ6U1MVXOaj8PK2l7WJ3RER9xtqwdhxkhw/edit?usp=sharing"",""ตราด!M330"")"),45443)</f>
        <v>45443</v>
      </c>
      <c r="O435" s="412">
        <f t="shared" ref="O435:O439" ca="1" si="114">+IF(L435&gt;0,N435*100/L435,0)</f>
        <v>59.016883116883115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IFERROR(__xludf.DUMMYFUNCTION("IMPORTRANGE(""https://docs.google.com/spreadsheets/d/1SX6NBoVAgQJ6U1MVXOaj8PK2l7WJ3RER9xtqwdhxkhw/edit?usp=sharing"",""ตราด!L331"")"),0)</f>
        <v>0</v>
      </c>
      <c r="M436" s="164"/>
      <c r="N436" s="169">
        <f ca="1">IFERROR(__xludf.DUMMYFUNCTION("IMPORTRANGE(""https://docs.google.com/spreadsheets/d/1SX6NBoVAgQJ6U1MVXOaj8PK2l7WJ3RER9xtqwdhxkhw/edit?usp=sharing"",""ตราด!M331"")"),0)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IFERROR(__xludf.DUMMYFUNCTION("IMPORTRANGE(""https://docs.google.com/spreadsheets/d/1SX6NBoVAgQJ6U1MVXOaj8PK2l7WJ3RER9xtqwdhxkhw/edit?usp=sharing"",""ตราด!L332"")"),77000)</f>
        <v>77000</v>
      </c>
      <c r="M437" s="165"/>
      <c r="N437" s="169">
        <f ca="1">IFERROR(__xludf.DUMMYFUNCTION("IMPORTRANGE(""https://docs.google.com/spreadsheets/d/1SX6NBoVAgQJ6U1MVXOaj8PK2l7WJ3RER9xtqwdhxkhw/edit?usp=sharing"",""ตราด!M332"")"),45443)</f>
        <v>45443</v>
      </c>
      <c r="O437" s="169">
        <f t="shared" ca="1" si="114"/>
        <v>59.016883116883115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IFERROR(__xludf.DUMMYFUNCTION("IMPORTRANGE(""https://docs.google.com/spreadsheets/d/1SX6NBoVAgQJ6U1MVXOaj8PK2l7WJ3RER9xtqwdhxkhw/edit?usp=sharing"",""ตราด!L333"")"),0)</f>
        <v>0</v>
      </c>
      <c r="M438" s="169"/>
      <c r="N438" s="169">
        <f ca="1">IFERROR(__xludf.DUMMYFUNCTION("IMPORTRANGE(""https://docs.google.com/spreadsheets/d/1SX6NBoVAgQJ6U1MVXOaj8PK2l7WJ3RER9xtqwdhxkhw/edit?usp=sharing"",""ตราด!M333"")"),0)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IFERROR(__xludf.DUMMYFUNCTION("IMPORTRANGE(""https://docs.google.com/spreadsheets/d/1SX6NBoVAgQJ6U1MVXOaj8PK2l7WJ3RER9xtqwdhxkhw/edit?usp=sharing"",""ตราด!L334"")"),77000)</f>
        <v>77000</v>
      </c>
      <c r="M439" s="169"/>
      <c r="N439" s="169">
        <f ca="1">IFERROR(__xludf.DUMMYFUNCTION("IMPORTRANGE(""https://docs.google.com/spreadsheets/d/1SX6NBoVAgQJ6U1MVXOaj8PK2l7WJ3RER9xtqwdhxkhw/edit?usp=sharing"",""ตราด!M334"")"),45443)</f>
        <v>45443</v>
      </c>
      <c r="O439" s="169">
        <f t="shared" ca="1" si="114"/>
        <v>59.016883116883115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IFERROR(__xludf.DUMMYFUNCTION("IMPORTRANGE(""https://docs.google.com/spreadsheets/d/1SX6NBoVAgQJ6U1MVXOaj8PK2l7WJ3RER9xtqwdhxkhw/edit?usp=sharing"",""ตราด!M335"")"),38973)</f>
        <v>38973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IFERROR(__xludf.DUMMYFUNCTION("IMPORTRANGE(""https://docs.google.com/spreadsheets/d/1SX6NBoVAgQJ6U1MVXOaj8PK2l7WJ3RER9xtqwdhxkhw/edit?usp=sharing"",""ตราด!M336"")"),0)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IFERROR(__xludf.DUMMYFUNCTION("IMPORTRANGE(""https://docs.google.com/spreadsheets/d/1SX6NBoVAgQJ6U1MVXOaj8PK2l7WJ3RER9xtqwdhxkhw/edit?usp=sharing"",""ตราด!M337"")"),0)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IFERROR(__xludf.DUMMYFUNCTION("IMPORTRANGE(""https://docs.google.com/spreadsheets/d/1SX6NBoVAgQJ6U1MVXOaj8PK2l7WJ3RER9xtqwdhxkhw/edit?usp=sharing"",""ตราด!M338"")"),6470)</f>
        <v>6470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IFERROR(__xludf.DUMMYFUNCTION("IMPORTRANGE(""https://docs.google.com/spreadsheets/d/1SX6NBoVAgQJ6U1MVXOaj8PK2l7WJ3RER9xtqwdhxkhw/edit?usp=sharing"",""ตราด!J340"")"),0)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IFERROR(__xludf.DUMMYFUNCTION("IMPORTRANGE(""https://docs.google.com/spreadsheets/d/1SX6NBoVAgQJ6U1MVXOaj8PK2l7WJ3RER9xtqwdhxkhw/edit?usp=sharing"",""ตราด!J341"")"),1)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IFERROR(__xludf.DUMMYFUNCTION("IMPORTRANGE(""https://docs.google.com/spreadsheets/d/1SX6NBoVAgQJ6U1MVXOaj8PK2l7WJ3RER9xtqwdhxkhw/edit?usp=sharing"",""ตราด!J342"")"),1)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IFERROR(__xludf.DUMMYFUNCTION("IMPORTRANGE(""https://docs.google.com/spreadsheets/d/1SX6NBoVAgQJ6U1MVXOaj8PK2l7WJ3RER9xtqwdhxkhw/edit?usp=sharing"",""ตราด!J343"")"),1)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IFERROR(__xludf.DUMMYFUNCTION("IMPORTRANGE(""https://docs.google.com/spreadsheets/d/1SX6NBoVAgQJ6U1MVXOaj8PK2l7WJ3RER9xtqwdhxkhw/edit?usp=sharing"",""ตราด!I344"")"),10)</f>
        <v>10</v>
      </c>
      <c r="J449" s="201">
        <f ca="1">IFERROR(__xludf.DUMMYFUNCTION("IMPORTRANGE(""https://docs.google.com/spreadsheets/d/1SX6NBoVAgQJ6U1MVXOaj8PK2l7WJ3RER9xtqwdhxkhw/edit?usp=sharing"",""ตราด!J344"")"),10)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IFERROR(__xludf.DUMMYFUNCTION("IMPORTRANGE(""https://docs.google.com/spreadsheets/d/1SX6NBoVAgQJ6U1MVXOaj8PK2l7WJ3RER9xtqwdhxkhw/edit?usp=sharing"",""ตราด!I345"")"),10)</f>
        <v>10</v>
      </c>
      <c r="J450" s="189">
        <f ca="1">IFERROR(__xludf.DUMMYFUNCTION("IMPORTRANGE(""https://docs.google.com/spreadsheets/d/1SX6NBoVAgQJ6U1MVXOaj8PK2l7WJ3RER9xtqwdhxkhw/edit?usp=sharing"",""ตราด!J345"")"),10)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IFERROR(__xludf.DUMMYFUNCTION("IMPORTRANGE(""https://docs.google.com/spreadsheets/d/1SX6NBoVAgQJ6U1MVXOaj8PK2l7WJ3RER9xtqwdhxkhw/edit?usp=sharing"",""ตราด!I346"")"),0)</f>
        <v>0</v>
      </c>
      <c r="J451" s="188">
        <f ca="1">IFERROR(__xludf.DUMMYFUNCTION("IMPORTRANGE(""https://docs.google.com/spreadsheets/d/1SX6NBoVAgQJ6U1MVXOaj8PK2l7WJ3RER9xtqwdhxkhw/edit?usp=sharing"",""ตราด!J346"")"),0)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IFERROR(__xludf.DUMMYFUNCTION("IMPORTRANGE(""https://docs.google.com/spreadsheets/d/1SX6NBoVAgQJ6U1MVXOaj8PK2l7WJ3RER9xtqwdhxkhw/edit?usp=sharing"",""ตราด!I347"")"),0)</f>
        <v>0</v>
      </c>
      <c r="J452" s="188">
        <f ca="1">IFERROR(__xludf.DUMMYFUNCTION("IMPORTRANGE(""https://docs.google.com/spreadsheets/d/1SX6NBoVAgQJ6U1MVXOaj8PK2l7WJ3RER9xtqwdhxkhw/edit?usp=sharing"",""ตราด!J347"")"),0)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IFERROR(__xludf.DUMMYFUNCTION("IMPORTRANGE(""https://docs.google.com/spreadsheets/d/1SX6NBoVAgQJ6U1MVXOaj8PK2l7WJ3RER9xtqwdhxkhw/edit?usp=sharing"",""ตราด!J348"")"),0)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IFERROR(__xludf.DUMMYFUNCTION("IMPORTRANGE(""https://docs.google.com/spreadsheets/d/1SX6NBoVAgQJ6U1MVXOaj8PK2l7WJ3RER9xtqwdhxkhw/edit?usp=sharing"",""ตราด!J349"")"),0)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IFERROR(__xludf.DUMMYFUNCTION("IMPORTRANGE(""https://docs.google.com/spreadsheets/d/1SX6NBoVAgQJ6U1MVXOaj8PK2l7WJ3RER9xtqwdhxkhw/edit?usp=sharing"",""ตราด!I350"")"),0)</f>
        <v>0</v>
      </c>
      <c r="J455" s="371">
        <f ca="1">IFERROR(__xludf.DUMMYFUNCTION("IMPORTRANGE(""https://docs.google.com/spreadsheets/d/1SX6NBoVAgQJ6U1MVXOaj8PK2l7WJ3RER9xtqwdhxkhw/edit?usp=sharing"",""ตราด!J350"")"),0)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IFERROR(__xludf.DUMMYFUNCTION("IMPORTRANGE(""https://docs.google.com/spreadsheets/d/1SX6NBoVAgQJ6U1MVXOaj8PK2l7WJ3RER9xtqwdhxkhw/edit?usp=sharing"",""ตราด!L350"")"),66252)</f>
        <v>66252</v>
      </c>
      <c r="M455" s="373"/>
      <c r="N455" s="373">
        <f ca="1">IFERROR(__xludf.DUMMYFUNCTION("IMPORTRANGE(""https://docs.google.com/spreadsheets/d/1SX6NBoVAgQJ6U1MVXOaj8PK2l7WJ3RER9xtqwdhxkhw/edit?usp=sharing"",""ตราด!M350"")"),4920)</f>
        <v>4920</v>
      </c>
      <c r="O455" s="373">
        <f t="shared" ref="O455:O459" ca="1" si="116">+IF(L455&gt;0,N455*100/L455,0)</f>
        <v>7.4261909074443038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IFERROR(__xludf.DUMMYFUNCTION("IMPORTRANGE(""https://docs.google.com/spreadsheets/d/1SX6NBoVAgQJ6U1MVXOaj8PK2l7WJ3RER9xtqwdhxkhw/edit?usp=sharing"",""ตราด!L351"")"),0)</f>
        <v>0</v>
      </c>
      <c r="M456" s="164"/>
      <c r="N456" s="169">
        <f ca="1">IFERROR(__xludf.DUMMYFUNCTION("IMPORTRANGE(""https://docs.google.com/spreadsheets/d/1SX6NBoVAgQJ6U1MVXOaj8PK2l7WJ3RER9xtqwdhxkhw/edit?usp=sharing"",""ตราด!M351"")"),0)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IFERROR(__xludf.DUMMYFUNCTION("IMPORTRANGE(""https://docs.google.com/spreadsheets/d/1SX6NBoVAgQJ6U1MVXOaj8PK2l7WJ3RER9xtqwdhxkhw/edit?usp=sharing"",""ตราด!L352"")"),66252)</f>
        <v>66252</v>
      </c>
      <c r="M457" s="165"/>
      <c r="N457" s="169">
        <f ca="1">IFERROR(__xludf.DUMMYFUNCTION("IMPORTRANGE(""https://docs.google.com/spreadsheets/d/1SX6NBoVAgQJ6U1MVXOaj8PK2l7WJ3RER9xtqwdhxkhw/edit?usp=sharing"",""ตราด!M352"")"),4920)</f>
        <v>4920</v>
      </c>
      <c r="O457" s="169">
        <f t="shared" ca="1" si="116"/>
        <v>7.4261909074443038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IFERROR(__xludf.DUMMYFUNCTION("IMPORTRANGE(""https://docs.google.com/spreadsheets/d/1SX6NBoVAgQJ6U1MVXOaj8PK2l7WJ3RER9xtqwdhxkhw/edit?usp=sharing"",""ตราด!L353"")"),0)</f>
        <v>0</v>
      </c>
      <c r="M458" s="169"/>
      <c r="N458" s="169">
        <f ca="1">IFERROR(__xludf.DUMMYFUNCTION("IMPORTRANGE(""https://docs.google.com/spreadsheets/d/1SX6NBoVAgQJ6U1MVXOaj8PK2l7WJ3RER9xtqwdhxkhw/edit?usp=sharing"",""ตราด!M353"")"),0)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IFERROR(__xludf.DUMMYFUNCTION("IMPORTRANGE(""https://docs.google.com/spreadsheets/d/1SX6NBoVAgQJ6U1MVXOaj8PK2l7WJ3RER9xtqwdhxkhw/edit?usp=sharing"",""ตราด!L354"")"),66252)</f>
        <v>66252</v>
      </c>
      <c r="M459" s="169"/>
      <c r="N459" s="169">
        <f ca="1">IFERROR(__xludf.DUMMYFUNCTION("IMPORTRANGE(""https://docs.google.com/spreadsheets/d/1SX6NBoVAgQJ6U1MVXOaj8PK2l7WJ3RER9xtqwdhxkhw/edit?usp=sharing"",""ตราด!M354"")"),4920)</f>
        <v>4920</v>
      </c>
      <c r="O459" s="169">
        <f t="shared" ca="1" si="116"/>
        <v>7.4261909074443038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IFERROR(__xludf.DUMMYFUNCTION("IMPORTRANGE(""https://docs.google.com/spreadsheets/d/1SX6NBoVAgQJ6U1MVXOaj8PK2l7WJ3RER9xtqwdhxkhw/edit?usp=sharing"",""ตราด!M355"")"),0)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IFERROR(__xludf.DUMMYFUNCTION("IMPORTRANGE(""https://docs.google.com/spreadsheets/d/1SX6NBoVAgQJ6U1MVXOaj8PK2l7WJ3RER9xtqwdhxkhw/edit?usp=sharing"",""ตราด!M356"")"),0)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IFERROR(__xludf.DUMMYFUNCTION("IMPORTRANGE(""https://docs.google.com/spreadsheets/d/1SX6NBoVAgQJ6U1MVXOaj8PK2l7WJ3RER9xtqwdhxkhw/edit?usp=sharing"",""ตราด!M357"")"),0)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IFERROR(__xludf.DUMMYFUNCTION("IMPORTRANGE(""https://docs.google.com/spreadsheets/d/1SX6NBoVAgQJ6U1MVXOaj8PK2l7WJ3RER9xtqwdhxkhw/edit?usp=sharing"",""ตราด!M358"")"),4920)</f>
        <v>4920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IFERROR(__xludf.DUMMYFUNCTION("IMPORTRANGE(""https://docs.google.com/spreadsheets/d/1SX6NBoVAgQJ6U1MVXOaj8PK2l7WJ3RER9xtqwdhxkhw/edit?usp=sharing"",""ตราด!I359"")"),0)</f>
        <v>0</v>
      </c>
      <c r="J464" s="267">
        <f ca="1">IFERROR(__xludf.DUMMYFUNCTION("IMPORTRANGE(""https://docs.google.com/spreadsheets/d/1SX6NBoVAgQJ6U1MVXOaj8PK2l7WJ3RER9xtqwdhxkhw/edit?usp=sharing"",""ตราด!J359"")"),0)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IFERROR(__xludf.DUMMYFUNCTION("IMPORTRANGE(""https://docs.google.com/spreadsheets/d/1SX6NBoVAgQJ6U1MVXOaj8PK2l7WJ3RER9xtqwdhxkhw/edit?usp=sharing"",""ตราด!I360"")"),0)</f>
        <v>0</v>
      </c>
      <c r="J465" s="420">
        <f ca="1">IFERROR(__xludf.DUMMYFUNCTION("IMPORTRANGE(""https://docs.google.com/spreadsheets/d/1SX6NBoVAgQJ6U1MVXOaj8PK2l7WJ3RER9xtqwdhxkhw/edit?usp=sharing"",""ตราด!J360"")"),0)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IFERROR(__xludf.DUMMYFUNCTION("IMPORTRANGE(""https://docs.google.com/spreadsheets/d/1SX6NBoVAgQJ6U1MVXOaj8PK2l7WJ3RER9xtqwdhxkhw/edit?usp=sharing"",""ตราด!I361"")"),0)</f>
        <v>0</v>
      </c>
      <c r="J466" s="420">
        <f ca="1">IFERROR(__xludf.DUMMYFUNCTION("IMPORTRANGE(""https://docs.google.com/spreadsheets/d/1SX6NBoVAgQJ6U1MVXOaj8PK2l7WJ3RER9xtqwdhxkhw/edit?usp=sharing"",""ตราด!J361"")"),0)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IFERROR(__xludf.DUMMYFUNCTION("IMPORTRANGE(""https://docs.google.com/spreadsheets/d/1SX6NBoVAgQJ6U1MVXOaj8PK2l7WJ3RER9xtqwdhxkhw/edit?usp=sharing"",""ตราด!I362"")"),0)</f>
        <v>0</v>
      </c>
      <c r="J467" s="189">
        <f ca="1">IFERROR(__xludf.DUMMYFUNCTION("IMPORTRANGE(""https://docs.google.com/spreadsheets/d/1SX6NBoVAgQJ6U1MVXOaj8PK2l7WJ3RER9xtqwdhxkhw/edit?usp=sharing"",""ตราด!J362"")"),0)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IFERROR(__xludf.DUMMYFUNCTION("IMPORTRANGE(""https://docs.google.com/spreadsheets/d/1SX6NBoVAgQJ6U1MVXOaj8PK2l7WJ3RER9xtqwdhxkhw/edit?usp=sharing"",""ตราด!I363"")"),0)</f>
        <v>0</v>
      </c>
      <c r="J468" s="189">
        <f ca="1">IFERROR(__xludf.DUMMYFUNCTION("IMPORTRANGE(""https://docs.google.com/spreadsheets/d/1SX6NBoVAgQJ6U1MVXOaj8PK2l7WJ3RER9xtqwdhxkhw/edit?usp=sharing"",""ตราด!J363"")"),0)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IFERROR(__xludf.DUMMYFUNCTION("IMPORTRANGE(""https://docs.google.com/spreadsheets/d/1SX6NBoVAgQJ6U1MVXOaj8PK2l7WJ3RER9xtqwdhxkhw/edit?usp=sharing"",""ตราด!I364"")"),0)</f>
        <v>0</v>
      </c>
      <c r="J469" s="189">
        <f ca="1">IFERROR(__xludf.DUMMYFUNCTION("IMPORTRANGE(""https://docs.google.com/spreadsheets/d/1SX6NBoVAgQJ6U1MVXOaj8PK2l7WJ3RER9xtqwdhxkhw/edit?usp=sharing"",""ตราด!J364"")"),0)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IFERROR(__xludf.DUMMYFUNCTION("IMPORTRANGE(""https://docs.google.com/spreadsheets/d/1SX6NBoVAgQJ6U1MVXOaj8PK2l7WJ3RER9xtqwdhxkhw/edit?usp=sharing"",""ตราด!I365"")"),0)</f>
        <v>0</v>
      </c>
      <c r="J470" s="189">
        <f ca="1">IFERROR(__xludf.DUMMYFUNCTION("IMPORTRANGE(""https://docs.google.com/spreadsheets/d/1SX6NBoVAgQJ6U1MVXOaj8PK2l7WJ3RER9xtqwdhxkhw/edit?usp=sharing"",""ตราด!J365"")"),0)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IFERROR(__xludf.DUMMYFUNCTION("IMPORTRANGE(""https://docs.google.com/spreadsheets/d/1SX6NBoVAgQJ6U1MVXOaj8PK2l7WJ3RER9xtqwdhxkhw/edit?usp=sharing"",""ตราด!I366"")"),0)</f>
        <v>0</v>
      </c>
      <c r="J471" s="189">
        <f ca="1">IFERROR(__xludf.DUMMYFUNCTION("IMPORTRANGE(""https://docs.google.com/spreadsheets/d/1SX6NBoVAgQJ6U1MVXOaj8PK2l7WJ3RER9xtqwdhxkhw/edit?usp=sharing"",""ตราด!J366"")"),0)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IFERROR(__xludf.DUMMYFUNCTION("IMPORTRANGE(""https://docs.google.com/spreadsheets/d/1SX6NBoVAgQJ6U1MVXOaj8PK2l7WJ3RER9xtqwdhxkhw/edit?usp=sharing"",""ตราด!I367"")"),0)</f>
        <v>0</v>
      </c>
      <c r="J472" s="189">
        <f ca="1">IFERROR(__xludf.DUMMYFUNCTION("IMPORTRANGE(""https://docs.google.com/spreadsheets/d/1SX6NBoVAgQJ6U1MVXOaj8PK2l7WJ3RER9xtqwdhxkhw/edit?usp=sharing"",""ตราด!J367"")"),0)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IFERROR(__xludf.DUMMYFUNCTION("IMPORTRANGE(""https://docs.google.com/spreadsheets/d/1SX6NBoVAgQJ6U1MVXOaj8PK2l7WJ3RER9xtqwdhxkhw/edit?usp=sharing"",""ตราด!I368"")"),0)</f>
        <v>0</v>
      </c>
      <c r="J473" s="420">
        <f ca="1">IFERROR(__xludf.DUMMYFUNCTION("IMPORTRANGE(""https://docs.google.com/spreadsheets/d/1SX6NBoVAgQJ6U1MVXOaj8PK2l7WJ3RER9xtqwdhxkhw/edit?usp=sharing"",""ตราด!J368"")"),0)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IFERROR(__xludf.DUMMYFUNCTION("IMPORTRANGE(""https://docs.google.com/spreadsheets/d/1SX6NBoVAgQJ6U1MVXOaj8PK2l7WJ3RER9xtqwdhxkhw/edit?usp=sharing"",""ตราด!I369"")"),0)</f>
        <v>0</v>
      </c>
      <c r="J474" s="420">
        <f ca="1">IFERROR(__xludf.DUMMYFUNCTION("IMPORTRANGE(""https://docs.google.com/spreadsheets/d/1SX6NBoVAgQJ6U1MVXOaj8PK2l7WJ3RER9xtqwdhxkhw/edit?usp=sharing"",""ตราด!J369"")"),0)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IFERROR(__xludf.DUMMYFUNCTION("IMPORTRANGE(""https://docs.google.com/spreadsheets/d/1SX6NBoVAgQJ6U1MVXOaj8PK2l7WJ3RER9xtqwdhxkhw/edit?usp=sharing"",""ตราด!I370"")"),0)</f>
        <v>0</v>
      </c>
      <c r="J475" s="189">
        <f ca="1">IFERROR(__xludf.DUMMYFUNCTION("IMPORTRANGE(""https://docs.google.com/spreadsheets/d/1SX6NBoVAgQJ6U1MVXOaj8PK2l7WJ3RER9xtqwdhxkhw/edit?usp=sharing"",""ตราด!J370"")"),0)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IFERROR(__xludf.DUMMYFUNCTION("IMPORTRANGE(""https://docs.google.com/spreadsheets/d/1SX6NBoVAgQJ6U1MVXOaj8PK2l7WJ3RER9xtqwdhxkhw/edit?usp=sharing"",""ตราด!I371"")"),0)</f>
        <v>0</v>
      </c>
      <c r="J476" s="189">
        <f ca="1">IFERROR(__xludf.DUMMYFUNCTION("IMPORTRANGE(""https://docs.google.com/spreadsheets/d/1SX6NBoVAgQJ6U1MVXOaj8PK2l7WJ3RER9xtqwdhxkhw/edit?usp=sharing"",""ตราด!J371"")"),0)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IFERROR(__xludf.DUMMYFUNCTION("IMPORTRANGE(""https://docs.google.com/spreadsheets/d/1SX6NBoVAgQJ6U1MVXOaj8PK2l7WJ3RER9xtqwdhxkhw/edit?usp=sharing"",""ตราด!I372"")"),0)</f>
        <v>0</v>
      </c>
      <c r="J477" s="189">
        <f ca="1">IFERROR(__xludf.DUMMYFUNCTION("IMPORTRANGE(""https://docs.google.com/spreadsheets/d/1SX6NBoVAgQJ6U1MVXOaj8PK2l7WJ3RER9xtqwdhxkhw/edit?usp=sharing"",""ตราด!J372"")"),0)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IFERROR(__xludf.DUMMYFUNCTION("IMPORTRANGE(""https://docs.google.com/spreadsheets/d/1SX6NBoVAgQJ6U1MVXOaj8PK2l7WJ3RER9xtqwdhxkhw/edit?usp=sharing"",""ตราด!I373"")"),0)</f>
        <v>0</v>
      </c>
      <c r="J478" s="189">
        <f ca="1">IFERROR(__xludf.DUMMYFUNCTION("IMPORTRANGE(""https://docs.google.com/spreadsheets/d/1SX6NBoVAgQJ6U1MVXOaj8PK2l7WJ3RER9xtqwdhxkhw/edit?usp=sharing"",""ตราด!J373"")"),0)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IFERROR(__xludf.DUMMYFUNCTION("IMPORTRANGE(""https://docs.google.com/spreadsheets/d/1SX6NBoVAgQJ6U1MVXOaj8PK2l7WJ3RER9xtqwdhxkhw/edit?usp=sharing"",""ตราด!I374"")"),0)</f>
        <v>0</v>
      </c>
      <c r="J479" s="189">
        <f ca="1">IFERROR(__xludf.DUMMYFUNCTION("IMPORTRANGE(""https://docs.google.com/spreadsheets/d/1SX6NBoVAgQJ6U1MVXOaj8PK2l7WJ3RER9xtqwdhxkhw/edit?usp=sharing"",""ตราด!J374"")"),0)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IFERROR(__xludf.DUMMYFUNCTION("IMPORTRANGE(""https://docs.google.com/spreadsheets/d/1SX6NBoVAgQJ6U1MVXOaj8PK2l7WJ3RER9xtqwdhxkhw/edit?usp=sharing"",""ตราด!I375"")"),0)</f>
        <v>0</v>
      </c>
      <c r="J480" s="189">
        <f ca="1">IFERROR(__xludf.DUMMYFUNCTION("IMPORTRANGE(""https://docs.google.com/spreadsheets/d/1SX6NBoVAgQJ6U1MVXOaj8PK2l7WJ3RER9xtqwdhxkhw/edit?usp=sharing"",""ตราด!J375"")"),0)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IFERROR(__xludf.DUMMYFUNCTION("IMPORTRANGE(""https://docs.google.com/spreadsheets/d/1SX6NBoVAgQJ6U1MVXOaj8PK2l7WJ3RER9xtqwdhxkhw/edit?usp=sharing"",""ตราด!I376"")"),0)</f>
        <v>0</v>
      </c>
      <c r="J481" s="420">
        <f ca="1">IFERROR(__xludf.DUMMYFUNCTION("IMPORTRANGE(""https://docs.google.com/spreadsheets/d/1SX6NBoVAgQJ6U1MVXOaj8PK2l7WJ3RER9xtqwdhxkhw/edit?usp=sharing"",""ตราด!J376"")"),0)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IFERROR(__xludf.DUMMYFUNCTION("IMPORTRANGE(""https://docs.google.com/spreadsheets/d/1SX6NBoVAgQJ6U1MVXOaj8PK2l7WJ3RER9xtqwdhxkhw/edit?usp=sharing"",""ตราด!I377"")"),0)</f>
        <v>0</v>
      </c>
      <c r="J482" s="420">
        <f ca="1">IFERROR(__xludf.DUMMYFUNCTION("IMPORTRANGE(""https://docs.google.com/spreadsheets/d/1SX6NBoVAgQJ6U1MVXOaj8PK2l7WJ3RER9xtqwdhxkhw/edit?usp=sharing"",""ตราด!J377"")"),0)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IFERROR(__xludf.DUMMYFUNCTION("IMPORTRANGE(""https://docs.google.com/spreadsheets/d/1SX6NBoVAgQJ6U1MVXOaj8PK2l7WJ3RER9xtqwdhxkhw/edit?usp=sharing"",""ตราด!I378"")"),0)</f>
        <v>0</v>
      </c>
      <c r="J483" s="189">
        <f ca="1">IFERROR(__xludf.DUMMYFUNCTION("IMPORTRANGE(""https://docs.google.com/spreadsheets/d/1SX6NBoVAgQJ6U1MVXOaj8PK2l7WJ3RER9xtqwdhxkhw/edit?usp=sharing"",""ตราด!J378"")"),0)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IFERROR(__xludf.DUMMYFUNCTION("IMPORTRANGE(""https://docs.google.com/spreadsheets/d/1SX6NBoVAgQJ6U1MVXOaj8PK2l7WJ3RER9xtqwdhxkhw/edit?usp=sharing"",""ตราด!I379"")"),0)</f>
        <v>0</v>
      </c>
      <c r="J484" s="189">
        <f ca="1">IFERROR(__xludf.DUMMYFUNCTION("IMPORTRANGE(""https://docs.google.com/spreadsheets/d/1SX6NBoVAgQJ6U1MVXOaj8PK2l7WJ3RER9xtqwdhxkhw/edit?usp=sharing"",""ตราด!J379"")"),0)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IFERROR(__xludf.DUMMYFUNCTION("IMPORTRANGE(""https://docs.google.com/spreadsheets/d/1SX6NBoVAgQJ6U1MVXOaj8PK2l7WJ3RER9xtqwdhxkhw/edit?usp=sharing"",""ตราด!I380"")"),0)</f>
        <v>0</v>
      </c>
      <c r="J485" s="189">
        <f ca="1">IFERROR(__xludf.DUMMYFUNCTION("IMPORTRANGE(""https://docs.google.com/spreadsheets/d/1SX6NBoVAgQJ6U1MVXOaj8PK2l7WJ3RER9xtqwdhxkhw/edit?usp=sharing"",""ตราด!J380"")"),0)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IFERROR(__xludf.DUMMYFUNCTION("IMPORTRANGE(""https://docs.google.com/spreadsheets/d/1SX6NBoVAgQJ6U1MVXOaj8PK2l7WJ3RER9xtqwdhxkhw/edit?usp=sharing"",""ตราด!I381"")"),0)</f>
        <v>0</v>
      </c>
      <c r="J486" s="189">
        <f ca="1">IFERROR(__xludf.DUMMYFUNCTION("IMPORTRANGE(""https://docs.google.com/spreadsheets/d/1SX6NBoVAgQJ6U1MVXOaj8PK2l7WJ3RER9xtqwdhxkhw/edit?usp=sharing"",""ตราด!J381"")"),0)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IFERROR(__xludf.DUMMYFUNCTION("IMPORTRANGE(""https://docs.google.com/spreadsheets/d/1SX6NBoVAgQJ6U1MVXOaj8PK2l7WJ3RER9xtqwdhxkhw/edit?usp=sharing"",""ตราด!I382"")"),0)</f>
        <v>0</v>
      </c>
      <c r="J487" s="420">
        <f ca="1">IFERROR(__xludf.DUMMYFUNCTION("IMPORTRANGE(""https://docs.google.com/spreadsheets/d/1SX6NBoVAgQJ6U1MVXOaj8PK2l7WJ3RER9xtqwdhxkhw/edit?usp=sharing"",""ตราด!J382"")"),0)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IFERROR(__xludf.DUMMYFUNCTION("IMPORTRANGE(""https://docs.google.com/spreadsheets/d/1SX6NBoVAgQJ6U1MVXOaj8PK2l7WJ3RER9xtqwdhxkhw/edit?usp=sharing"",""ตราด!I383"")"),0)</f>
        <v>0</v>
      </c>
      <c r="J488" s="420">
        <f ca="1">IFERROR(__xludf.DUMMYFUNCTION("IMPORTRANGE(""https://docs.google.com/spreadsheets/d/1SX6NBoVAgQJ6U1MVXOaj8PK2l7WJ3RER9xtqwdhxkhw/edit?usp=sharing"",""ตราด!J383"")"),0)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IFERROR(__xludf.DUMMYFUNCTION("IMPORTRANGE(""https://docs.google.com/spreadsheets/d/1SX6NBoVAgQJ6U1MVXOaj8PK2l7WJ3RER9xtqwdhxkhw/edit?usp=sharing"",""ตราด!I384"")"),0)</f>
        <v>0</v>
      </c>
      <c r="J489" s="189">
        <f ca="1">IFERROR(__xludf.DUMMYFUNCTION("IMPORTRANGE(""https://docs.google.com/spreadsheets/d/1SX6NBoVAgQJ6U1MVXOaj8PK2l7WJ3RER9xtqwdhxkhw/edit?usp=sharing"",""ตราด!J384"")"),0)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IFERROR(__xludf.DUMMYFUNCTION("IMPORTRANGE(""https://docs.google.com/spreadsheets/d/1SX6NBoVAgQJ6U1MVXOaj8PK2l7WJ3RER9xtqwdhxkhw/edit?usp=sharing"",""ตราด!I385"")"),0)</f>
        <v>0</v>
      </c>
      <c r="J490" s="189">
        <f ca="1">IFERROR(__xludf.DUMMYFUNCTION("IMPORTRANGE(""https://docs.google.com/spreadsheets/d/1SX6NBoVAgQJ6U1MVXOaj8PK2l7WJ3RER9xtqwdhxkhw/edit?usp=sharing"",""ตราด!J385"")"),0)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IFERROR(__xludf.DUMMYFUNCTION("IMPORTRANGE(""https://docs.google.com/spreadsheets/d/1SX6NBoVAgQJ6U1MVXOaj8PK2l7WJ3RER9xtqwdhxkhw/edit?usp=sharing"",""ตราด!I386"")"),0)</f>
        <v>0</v>
      </c>
      <c r="J491" s="189">
        <f ca="1">IFERROR(__xludf.DUMMYFUNCTION("IMPORTRANGE(""https://docs.google.com/spreadsheets/d/1SX6NBoVAgQJ6U1MVXOaj8PK2l7WJ3RER9xtqwdhxkhw/edit?usp=sharing"",""ตราด!J386"")"),0)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IFERROR(__xludf.DUMMYFUNCTION("IMPORTRANGE(""https://docs.google.com/spreadsheets/d/1SX6NBoVAgQJ6U1MVXOaj8PK2l7WJ3RER9xtqwdhxkhw/edit?usp=sharing"",""ตราด!I387"")"),0)</f>
        <v>0</v>
      </c>
      <c r="J492" s="189">
        <f ca="1">IFERROR(__xludf.DUMMYFUNCTION("IMPORTRANGE(""https://docs.google.com/spreadsheets/d/1SX6NBoVAgQJ6U1MVXOaj8PK2l7WJ3RER9xtqwdhxkhw/edit?usp=sharing"",""ตราด!J387"")"),0)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IFERROR(__xludf.DUMMYFUNCTION("IMPORTRANGE(""https://docs.google.com/spreadsheets/d/1SX6NBoVAgQJ6U1MVXOaj8PK2l7WJ3RER9xtqwdhxkhw/edit?usp=sharing"",""ตราด!I388"")"),0)</f>
        <v>0</v>
      </c>
      <c r="J493" s="189">
        <f ca="1">IFERROR(__xludf.DUMMYFUNCTION("IMPORTRANGE(""https://docs.google.com/spreadsheets/d/1SX6NBoVAgQJ6U1MVXOaj8PK2l7WJ3RER9xtqwdhxkhw/edit?usp=sharing"",""ตราด!J388"")"),0)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IFERROR(__xludf.DUMMYFUNCTION("IMPORTRANGE(""https://docs.google.com/spreadsheets/d/1SX6NBoVAgQJ6U1MVXOaj8PK2l7WJ3RER9xtqwdhxkhw/edit?usp=sharing"",""ตราด!I389"")"),0)</f>
        <v>0</v>
      </c>
      <c r="J494" s="436">
        <f ca="1">IFERROR(__xludf.DUMMYFUNCTION("IMPORTRANGE(""https://docs.google.com/spreadsheets/d/1SX6NBoVAgQJ6U1MVXOaj8PK2l7WJ3RER9xtqwdhxkhw/edit?usp=sharing"",""ตราด!J389"")"),0)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IFERROR(__xludf.DUMMYFUNCTION("IMPORTRANGE(""https://docs.google.com/spreadsheets/d/1SX6NBoVAgQJ6U1MVXOaj8PK2l7WJ3RER9xtqwdhxkhw/edit?usp=sharing"",""ตราด!I390"")"),0)</f>
        <v>0</v>
      </c>
      <c r="J495" s="436">
        <f ca="1">IFERROR(__xludf.DUMMYFUNCTION("IMPORTRANGE(""https://docs.google.com/spreadsheets/d/1SX6NBoVAgQJ6U1MVXOaj8PK2l7WJ3RER9xtqwdhxkhw/edit?usp=sharing"",""ตราด!J390"")"),0)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IFERROR(__xludf.DUMMYFUNCTION("IMPORTRANGE(""https://docs.google.com/spreadsheets/d/1SX6NBoVAgQJ6U1MVXOaj8PK2l7WJ3RER9xtqwdhxkhw/edit?usp=sharing"",""ตราด!I391"")"),0)</f>
        <v>0</v>
      </c>
      <c r="J496" s="436">
        <f ca="1">IFERROR(__xludf.DUMMYFUNCTION("IMPORTRANGE(""https://docs.google.com/spreadsheets/d/1SX6NBoVAgQJ6U1MVXOaj8PK2l7WJ3RER9xtqwdhxkhw/edit?usp=sharing"",""ตราด!J391"")"),0)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IFERROR(__xludf.DUMMYFUNCTION("IMPORTRANGE(""https://docs.google.com/spreadsheets/d/1SX6NBoVAgQJ6U1MVXOaj8PK2l7WJ3RER9xtqwdhxkhw/edit?usp=sharing"",""ตราด!I392"")"),1394)</f>
        <v>1394</v>
      </c>
      <c r="J497" s="443">
        <f ca="1">IFERROR(__xludf.DUMMYFUNCTION("IMPORTRANGE(""https://docs.google.com/spreadsheets/d/1SX6NBoVAgQJ6U1MVXOaj8PK2l7WJ3RER9xtqwdhxkhw/edit?usp=sharing"",""ตราด!J392"")"),666)</f>
        <v>666</v>
      </c>
      <c r="K497" s="444">
        <f t="shared" ca="1" si="117"/>
        <v>47.776183644189381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IFERROR(__xludf.DUMMYFUNCTION("IMPORTRANGE(""https://docs.google.com/spreadsheets/d/1SX6NBoVAgQJ6U1MVXOaj8PK2l7WJ3RER9xtqwdhxkhw/edit?usp=sharing"",""ตราด!I393"")"),1394)</f>
        <v>1394</v>
      </c>
      <c r="J498" s="420">
        <f ca="1">IFERROR(__xludf.DUMMYFUNCTION("IMPORTRANGE(""https://docs.google.com/spreadsheets/d/1SX6NBoVAgQJ6U1MVXOaj8PK2l7WJ3RER9xtqwdhxkhw/edit?usp=sharing"",""ตราด!J393"")"),666)</f>
        <v>666</v>
      </c>
      <c r="K498" s="202">
        <f t="shared" ca="1" si="117"/>
        <v>47.776183644189381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IFERROR(__xludf.DUMMYFUNCTION("IMPORTRANGE(""https://docs.google.com/spreadsheets/d/1SX6NBoVAgQJ6U1MVXOaj8PK2l7WJ3RER9xtqwdhxkhw/edit?usp=sharing"",""ตราด!I394"")"),89)</f>
        <v>89</v>
      </c>
      <c r="J499" s="420">
        <f ca="1">IFERROR(__xludf.DUMMYFUNCTION("IMPORTRANGE(""https://docs.google.com/spreadsheets/d/1SX6NBoVAgQJ6U1MVXOaj8PK2l7WJ3RER9xtqwdhxkhw/edit?usp=sharing"",""ตราด!J394"")"),41)</f>
        <v>41</v>
      </c>
      <c r="K499" s="202">
        <f t="shared" ca="1" si="117"/>
        <v>46.067415730337082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IFERROR(__xludf.DUMMYFUNCTION("IMPORTRANGE(""https://docs.google.com/spreadsheets/d/1SX6NBoVAgQJ6U1MVXOaj8PK2l7WJ3RER9xtqwdhxkhw/edit?usp=sharing"",""ตราด!I395"")"),0)</f>
        <v>0</v>
      </c>
      <c r="J500" s="162">
        <f ca="1">IFERROR(__xludf.DUMMYFUNCTION("IMPORTRANGE(""https://docs.google.com/spreadsheets/d/1SX6NBoVAgQJ6U1MVXOaj8PK2l7WJ3RER9xtqwdhxkhw/edit?usp=sharing"",""ตราด!J395"")"),666)</f>
        <v>666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IFERROR(__xludf.DUMMYFUNCTION("IMPORTRANGE(""https://docs.google.com/spreadsheets/d/1SX6NBoVAgQJ6U1MVXOaj8PK2l7WJ3RER9xtqwdhxkhw/edit?usp=sharing"",""ตราด!I396"")"),0)</f>
        <v>0</v>
      </c>
      <c r="J501" s="162">
        <f ca="1">IFERROR(__xludf.DUMMYFUNCTION("IMPORTRANGE(""https://docs.google.com/spreadsheets/d/1SX6NBoVAgQJ6U1MVXOaj8PK2l7WJ3RER9xtqwdhxkhw/edit?usp=sharing"",""ตราด!J396"")"),41)</f>
        <v>41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IFERROR(__xludf.DUMMYFUNCTION("IMPORTRANGE(""https://docs.google.com/spreadsheets/d/1SX6NBoVAgQJ6U1MVXOaj8PK2l7WJ3RER9xtqwdhxkhw/edit?usp=sharing"",""ตราด!I397"")"),0)</f>
        <v>0</v>
      </c>
      <c r="J502" s="189">
        <f ca="1">IFERROR(__xludf.DUMMYFUNCTION("IMPORTRANGE(""https://docs.google.com/spreadsheets/d/1SX6NBoVAgQJ6U1MVXOaj8PK2l7WJ3RER9xtqwdhxkhw/edit?usp=sharing"",""ตราด!J397"")"),666)</f>
        <v>666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IFERROR(__xludf.DUMMYFUNCTION("IMPORTRANGE(""https://docs.google.com/spreadsheets/d/1SX6NBoVAgQJ6U1MVXOaj8PK2l7WJ3RER9xtqwdhxkhw/edit?usp=sharing"",""ตราด!I398"")"),0)</f>
        <v>0</v>
      </c>
      <c r="J503" s="198">
        <f ca="1">IFERROR(__xludf.DUMMYFUNCTION("IMPORTRANGE(""https://docs.google.com/spreadsheets/d/1SX6NBoVAgQJ6U1MVXOaj8PK2l7WJ3RER9xtqwdhxkhw/edit?usp=sharing"",""ตราด!J398"")"),41)</f>
        <v>41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IFERROR(__xludf.DUMMYFUNCTION("IMPORTRANGE(""https://docs.google.com/spreadsheets/d/1SX6NBoVAgQJ6U1MVXOaj8PK2l7WJ3RER9xtqwdhxkhw/edit?usp=sharing"",""ตราด!I399"")"),0)</f>
        <v>0</v>
      </c>
      <c r="J504" s="189">
        <f ca="1">IFERROR(__xludf.DUMMYFUNCTION("IMPORTRANGE(""https://docs.google.com/spreadsheets/d/1SX6NBoVAgQJ6U1MVXOaj8PK2l7WJ3RER9xtqwdhxkhw/edit?usp=sharing"",""ตราด!J399"")"),0)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IFERROR(__xludf.DUMMYFUNCTION("IMPORTRANGE(""https://docs.google.com/spreadsheets/d/1SX6NBoVAgQJ6U1MVXOaj8PK2l7WJ3RER9xtqwdhxkhw/edit?usp=sharing"",""ตราด!I400"")"),0)</f>
        <v>0</v>
      </c>
      <c r="J505" s="198">
        <f ca="1">IFERROR(__xludf.DUMMYFUNCTION("IMPORTRANGE(""https://docs.google.com/spreadsheets/d/1SX6NBoVAgQJ6U1MVXOaj8PK2l7WJ3RER9xtqwdhxkhw/edit?usp=sharing"",""ตราด!J400"")"),0)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IFERROR(__xludf.DUMMYFUNCTION("IMPORTRANGE(""https://docs.google.com/spreadsheets/d/1SX6NBoVAgQJ6U1MVXOaj8PK2l7WJ3RER9xtqwdhxkhw/edit?usp=sharing"",""ตราด!I401"")"),0)</f>
        <v>0</v>
      </c>
      <c r="J506" s="189">
        <f ca="1">IFERROR(__xludf.DUMMYFUNCTION("IMPORTRANGE(""https://docs.google.com/spreadsheets/d/1SX6NBoVAgQJ6U1MVXOaj8PK2l7WJ3RER9xtqwdhxkhw/edit?usp=sharing"",""ตราด!J401"")"),0)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IFERROR(__xludf.DUMMYFUNCTION("IMPORTRANGE(""https://docs.google.com/spreadsheets/d/1SX6NBoVAgQJ6U1MVXOaj8PK2l7WJ3RER9xtqwdhxkhw/edit?usp=sharing"",""ตราด!I402"")"),0)</f>
        <v>0</v>
      </c>
      <c r="J507" s="198">
        <f ca="1">IFERROR(__xludf.DUMMYFUNCTION("IMPORTRANGE(""https://docs.google.com/spreadsheets/d/1SX6NBoVAgQJ6U1MVXOaj8PK2l7WJ3RER9xtqwdhxkhw/edit?usp=sharing"",""ตราด!J402"")"),0)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IFERROR(__xludf.DUMMYFUNCTION("IMPORTRANGE(""https://docs.google.com/spreadsheets/d/1SX6NBoVAgQJ6U1MVXOaj8PK2l7WJ3RER9xtqwdhxkhw/edit?usp=sharing"",""ตราด!I403"")"),0)</f>
        <v>0</v>
      </c>
      <c r="J508" s="162">
        <f ca="1">IFERROR(__xludf.DUMMYFUNCTION("IMPORTRANGE(""https://docs.google.com/spreadsheets/d/1SX6NBoVAgQJ6U1MVXOaj8PK2l7WJ3RER9xtqwdhxkhw/edit?usp=sharing"",""ตราด!J403"")"),0)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IFERROR(__xludf.DUMMYFUNCTION("IMPORTRANGE(""https://docs.google.com/spreadsheets/d/1SX6NBoVAgQJ6U1MVXOaj8PK2l7WJ3RER9xtqwdhxkhw/edit?usp=sharing"",""ตราด!I404"")"),0)</f>
        <v>0</v>
      </c>
      <c r="J509" s="162">
        <f ca="1">IFERROR(__xludf.DUMMYFUNCTION("IMPORTRANGE(""https://docs.google.com/spreadsheets/d/1SX6NBoVAgQJ6U1MVXOaj8PK2l7WJ3RER9xtqwdhxkhw/edit?usp=sharing"",""ตราด!J404"")"),0)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IFERROR(__xludf.DUMMYFUNCTION("IMPORTRANGE(""https://docs.google.com/spreadsheets/d/1SX6NBoVAgQJ6U1MVXOaj8PK2l7WJ3RER9xtqwdhxkhw/edit?usp=sharing"",""ตราด!I405"")"),0)</f>
        <v>0</v>
      </c>
      <c r="J510" s="198">
        <f ca="1">IFERROR(__xludf.DUMMYFUNCTION("IMPORTRANGE(""https://docs.google.com/spreadsheets/d/1SX6NBoVAgQJ6U1MVXOaj8PK2l7WJ3RER9xtqwdhxkhw/edit?usp=sharing"",""ตราด!J405"")"),0)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IFERROR(__xludf.DUMMYFUNCTION("IMPORTRANGE(""https://docs.google.com/spreadsheets/d/1SX6NBoVAgQJ6U1MVXOaj8PK2l7WJ3RER9xtqwdhxkhw/edit?usp=sharing"",""ตราด!I406"")"),0)</f>
        <v>0</v>
      </c>
      <c r="J511" s="198">
        <f ca="1">IFERROR(__xludf.DUMMYFUNCTION("IMPORTRANGE(""https://docs.google.com/spreadsheets/d/1SX6NBoVAgQJ6U1MVXOaj8PK2l7WJ3RER9xtqwdhxkhw/edit?usp=sharing"",""ตราด!J406"")"),0)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IFERROR(__xludf.DUMMYFUNCTION("IMPORTRANGE(""https://docs.google.com/spreadsheets/d/1SX6NBoVAgQJ6U1MVXOaj8PK2l7WJ3RER9xtqwdhxkhw/edit?usp=sharing"",""ตราด!I407"")"),0)</f>
        <v>0</v>
      </c>
      <c r="J512" s="198">
        <f ca="1">IFERROR(__xludf.DUMMYFUNCTION("IMPORTRANGE(""https://docs.google.com/spreadsheets/d/1SX6NBoVAgQJ6U1MVXOaj8PK2l7WJ3RER9xtqwdhxkhw/edit?usp=sharing"",""ตราด!J407"")"),0)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IFERROR(__xludf.DUMMYFUNCTION("IMPORTRANGE(""https://docs.google.com/spreadsheets/d/1SX6NBoVAgQJ6U1MVXOaj8PK2l7WJ3RER9xtqwdhxkhw/edit?usp=sharing"",""ตราด!I408"")"),0)</f>
        <v>0</v>
      </c>
      <c r="J513" s="198">
        <f ca="1">IFERROR(__xludf.DUMMYFUNCTION("IMPORTRANGE(""https://docs.google.com/spreadsheets/d/1SX6NBoVAgQJ6U1MVXOaj8PK2l7WJ3RER9xtqwdhxkhw/edit?usp=sharing"",""ตราด!J408"")"),0)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IFERROR(__xludf.DUMMYFUNCTION("IMPORTRANGE(""https://docs.google.com/spreadsheets/d/1SX6NBoVAgQJ6U1MVXOaj8PK2l7WJ3RER9xtqwdhxkhw/edit?usp=sharing"",""ตราด!I409"")"),0)</f>
        <v>0</v>
      </c>
      <c r="J514" s="198">
        <f ca="1">IFERROR(__xludf.DUMMYFUNCTION("IMPORTRANGE(""https://docs.google.com/spreadsheets/d/1SX6NBoVAgQJ6U1MVXOaj8PK2l7WJ3RER9xtqwdhxkhw/edit?usp=sharing"",""ตราด!J409"")"),0)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IFERROR(__xludf.DUMMYFUNCTION("IMPORTRANGE(""https://docs.google.com/spreadsheets/d/1SX6NBoVAgQJ6U1MVXOaj8PK2l7WJ3RER9xtqwdhxkhw/edit?usp=sharing"",""ตราด!I410"")"),0)</f>
        <v>0</v>
      </c>
      <c r="J515" s="198">
        <f ca="1">IFERROR(__xludf.DUMMYFUNCTION("IMPORTRANGE(""https://docs.google.com/spreadsheets/d/1SX6NBoVAgQJ6U1MVXOaj8PK2l7WJ3RER9xtqwdhxkhw/edit?usp=sharing"",""ตราด!J410"")"),0)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IFERROR(__xludf.DUMMYFUNCTION("IMPORTRANGE(""https://docs.google.com/spreadsheets/d/1SX6NBoVAgQJ6U1MVXOaj8PK2l7WJ3RER9xtqwdhxkhw/edit?usp=sharing"",""ตราด!I411"")"),0)</f>
        <v>0</v>
      </c>
      <c r="J516" s="267">
        <f ca="1">IFERROR(__xludf.DUMMYFUNCTION("IMPORTRANGE(""https://docs.google.com/spreadsheets/d/1SX6NBoVAgQJ6U1MVXOaj8PK2l7WJ3RER9xtqwdhxkhw/edit?usp=sharing"",""ตราด!J411"")"),0)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IFERROR(__xludf.DUMMYFUNCTION("IMPORTRANGE(""https://docs.google.com/spreadsheets/d/1SX6NBoVAgQJ6U1MVXOaj8PK2l7WJ3RER9xtqwdhxkhw/edit?usp=sharing"",""ตราด!I412"")"),0)</f>
        <v>0</v>
      </c>
      <c r="J517" s="284">
        <f ca="1">IFERROR(__xludf.DUMMYFUNCTION("IMPORTRANGE(""https://docs.google.com/spreadsheets/d/1SX6NBoVAgQJ6U1MVXOaj8PK2l7WJ3RER9xtqwdhxkhw/edit?usp=sharing"",""ตราด!J412"")"),0)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IFERROR(__xludf.DUMMYFUNCTION("IMPORTRANGE(""https://docs.google.com/spreadsheets/d/1SX6NBoVAgQJ6U1MVXOaj8PK2l7WJ3RER9xtqwdhxkhw/edit?usp=sharing"",""ตราด!I413"")"),0)</f>
        <v>0</v>
      </c>
      <c r="J518" s="284">
        <f ca="1">IFERROR(__xludf.DUMMYFUNCTION("IMPORTRANGE(""https://docs.google.com/spreadsheets/d/1SX6NBoVAgQJ6U1MVXOaj8PK2l7WJ3RER9xtqwdhxkhw/edit?usp=sharing"",""ตราด!J413"")"),0)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IFERROR(__xludf.DUMMYFUNCTION("IMPORTRANGE(""https://docs.google.com/spreadsheets/d/1SX6NBoVAgQJ6U1MVXOaj8PK2l7WJ3RER9xtqwdhxkhw/edit?usp=sharing"",""ตราด!I414"")"),0)</f>
        <v>0</v>
      </c>
      <c r="J519" s="188">
        <f ca="1">IFERROR(__xludf.DUMMYFUNCTION("IMPORTRANGE(""https://docs.google.com/spreadsheets/d/1SX6NBoVAgQJ6U1MVXOaj8PK2l7WJ3RER9xtqwdhxkhw/edit?usp=sharing"",""ตราด!J414"")"),0)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IFERROR(__xludf.DUMMYFUNCTION("IMPORTRANGE(""https://docs.google.com/spreadsheets/d/1SX6NBoVAgQJ6U1MVXOaj8PK2l7WJ3RER9xtqwdhxkhw/edit?usp=sharing"",""ตราด!I415"")"),0)</f>
        <v>0</v>
      </c>
      <c r="J520" s="188">
        <f ca="1">IFERROR(__xludf.DUMMYFUNCTION("IMPORTRANGE(""https://docs.google.com/spreadsheets/d/1SX6NBoVAgQJ6U1MVXOaj8PK2l7WJ3RER9xtqwdhxkhw/edit?usp=sharing"",""ตราด!J415"")"),0)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IFERROR(__xludf.DUMMYFUNCTION("IMPORTRANGE(""https://docs.google.com/spreadsheets/d/1SX6NBoVAgQJ6U1MVXOaj8PK2l7WJ3RER9xtqwdhxkhw/edit?usp=sharing"",""ตราด!I416"")"),0)</f>
        <v>0</v>
      </c>
      <c r="J521" s="188">
        <f ca="1">IFERROR(__xludf.DUMMYFUNCTION("IMPORTRANGE(""https://docs.google.com/spreadsheets/d/1SX6NBoVAgQJ6U1MVXOaj8PK2l7WJ3RER9xtqwdhxkhw/edit?usp=sharing"",""ตราด!J416"")"),0)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IFERROR(__xludf.DUMMYFUNCTION("IMPORTRANGE(""https://docs.google.com/spreadsheets/d/1SX6NBoVAgQJ6U1MVXOaj8PK2l7WJ3RER9xtqwdhxkhw/edit?usp=sharing"",""ตราด!I417"")"),0)</f>
        <v>0</v>
      </c>
      <c r="J522" s="188">
        <f ca="1">IFERROR(__xludf.DUMMYFUNCTION("IMPORTRANGE(""https://docs.google.com/spreadsheets/d/1SX6NBoVAgQJ6U1MVXOaj8PK2l7WJ3RER9xtqwdhxkhw/edit?usp=sharing"",""ตราด!J417"")"),0)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IFERROR(__xludf.DUMMYFUNCTION("IMPORTRANGE(""https://docs.google.com/spreadsheets/d/1SX6NBoVAgQJ6U1MVXOaj8PK2l7WJ3RER9xtqwdhxkhw/edit?usp=sharing"",""ตราด!I418"")"),0)</f>
        <v>0</v>
      </c>
      <c r="J523" s="188">
        <f ca="1">IFERROR(__xludf.DUMMYFUNCTION("IMPORTRANGE(""https://docs.google.com/spreadsheets/d/1SX6NBoVAgQJ6U1MVXOaj8PK2l7WJ3RER9xtqwdhxkhw/edit?usp=sharing"",""ตราด!J418"")"),0)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IFERROR(__xludf.DUMMYFUNCTION("IMPORTRANGE(""https://docs.google.com/spreadsheets/d/1SX6NBoVAgQJ6U1MVXOaj8PK2l7WJ3RER9xtqwdhxkhw/edit?usp=sharing"",""ตราด!I419"")"),0)</f>
        <v>0</v>
      </c>
      <c r="J524" s="188">
        <f ca="1">IFERROR(__xludf.DUMMYFUNCTION("IMPORTRANGE(""https://docs.google.com/spreadsheets/d/1SX6NBoVAgQJ6U1MVXOaj8PK2l7WJ3RER9xtqwdhxkhw/edit?usp=sharing"",""ตราด!J419"")"),0)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IFERROR(__xludf.DUMMYFUNCTION("IMPORTRANGE(""https://docs.google.com/spreadsheets/d/1SX6NBoVAgQJ6U1MVXOaj8PK2l7WJ3RER9xtqwdhxkhw/edit?usp=sharing"",""ตราด!I420"")"),0)</f>
        <v>0</v>
      </c>
      <c r="J525" s="284">
        <f ca="1">IFERROR(__xludf.DUMMYFUNCTION("IMPORTRANGE(""https://docs.google.com/spreadsheets/d/1SX6NBoVAgQJ6U1MVXOaj8PK2l7WJ3RER9xtqwdhxkhw/edit?usp=sharing"",""ตราด!J420"")"),0)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IFERROR(__xludf.DUMMYFUNCTION("IMPORTRANGE(""https://docs.google.com/spreadsheets/d/1SX6NBoVAgQJ6U1MVXOaj8PK2l7WJ3RER9xtqwdhxkhw/edit?usp=sharing"",""ตราด!I421"")"),0)</f>
        <v>0</v>
      </c>
      <c r="J526" s="284">
        <f ca="1">IFERROR(__xludf.DUMMYFUNCTION("IMPORTRANGE(""https://docs.google.com/spreadsheets/d/1SX6NBoVAgQJ6U1MVXOaj8PK2l7WJ3RER9xtqwdhxkhw/edit?usp=sharing"",""ตราด!J421"")"),0)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IFERROR(__xludf.DUMMYFUNCTION("IMPORTRANGE(""https://docs.google.com/spreadsheets/d/1SX6NBoVAgQJ6U1MVXOaj8PK2l7WJ3RER9xtqwdhxkhw/edit?usp=sharing"",""ตราด!I422"")"),0)</f>
        <v>0</v>
      </c>
      <c r="J527" s="198">
        <f ca="1">IFERROR(__xludf.DUMMYFUNCTION("IMPORTRANGE(""https://docs.google.com/spreadsheets/d/1SX6NBoVAgQJ6U1MVXOaj8PK2l7WJ3RER9xtqwdhxkhw/edit?usp=sharing"",""ตราด!J422"")"),0)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IFERROR(__xludf.DUMMYFUNCTION("IMPORTRANGE(""https://docs.google.com/spreadsheets/d/1SX6NBoVAgQJ6U1MVXOaj8PK2l7WJ3RER9xtqwdhxkhw/edit?usp=sharing"",""ตราด!I423"")"),0)</f>
        <v>0</v>
      </c>
      <c r="J528" s="198">
        <f ca="1">IFERROR(__xludf.DUMMYFUNCTION("IMPORTRANGE(""https://docs.google.com/spreadsheets/d/1SX6NBoVAgQJ6U1MVXOaj8PK2l7WJ3RER9xtqwdhxkhw/edit?usp=sharing"",""ตราด!J423"")"),0)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IFERROR(__xludf.DUMMYFUNCTION("IMPORTRANGE(""https://docs.google.com/spreadsheets/d/1SX6NBoVAgQJ6U1MVXOaj8PK2l7WJ3RER9xtqwdhxkhw/edit?usp=sharing"",""ตราด!I424"")"),0)</f>
        <v>0</v>
      </c>
      <c r="J529" s="198">
        <f ca="1">IFERROR(__xludf.DUMMYFUNCTION("IMPORTRANGE(""https://docs.google.com/spreadsheets/d/1SX6NBoVAgQJ6U1MVXOaj8PK2l7WJ3RER9xtqwdhxkhw/edit?usp=sharing"",""ตราด!J424"")"),0)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IFERROR(__xludf.DUMMYFUNCTION("IMPORTRANGE(""https://docs.google.com/spreadsheets/d/1SX6NBoVAgQJ6U1MVXOaj8PK2l7WJ3RER9xtqwdhxkhw/edit?usp=sharing"",""ตราด!I425"")"),0)</f>
        <v>0</v>
      </c>
      <c r="J530" s="198">
        <f ca="1">IFERROR(__xludf.DUMMYFUNCTION("IMPORTRANGE(""https://docs.google.com/spreadsheets/d/1SX6NBoVAgQJ6U1MVXOaj8PK2l7WJ3RER9xtqwdhxkhw/edit?usp=sharing"",""ตราด!J425"")"),0)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IFERROR(__xludf.DUMMYFUNCTION("IMPORTRANGE(""https://docs.google.com/spreadsheets/d/1SX6NBoVAgQJ6U1MVXOaj8PK2l7WJ3RER9xtqwdhxkhw/edit?usp=sharing"",""ตราด!I426"")"),0)</f>
        <v>0</v>
      </c>
      <c r="J531" s="198">
        <f ca="1">IFERROR(__xludf.DUMMYFUNCTION("IMPORTRANGE(""https://docs.google.com/spreadsheets/d/1SX6NBoVAgQJ6U1MVXOaj8PK2l7WJ3RER9xtqwdhxkhw/edit?usp=sharing"",""ตราด!J426"")"),0)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IFERROR(__xludf.DUMMYFUNCTION("IMPORTRANGE(""https://docs.google.com/spreadsheets/d/1SX6NBoVAgQJ6U1MVXOaj8PK2l7WJ3RER9xtqwdhxkhw/edit?usp=sharing"",""ตราด!I427"")"),0)</f>
        <v>0</v>
      </c>
      <c r="J532" s="466">
        <f ca="1">IFERROR(__xludf.DUMMYFUNCTION("IMPORTRANGE(""https://docs.google.com/spreadsheets/d/1SX6NBoVAgQJ6U1MVXOaj8PK2l7WJ3RER9xtqwdhxkhw/edit?usp=sharing"",""ตราด!J427"")"),0)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IFERROR(__xludf.DUMMYFUNCTION("IMPORTRANGE(""https://docs.google.com/spreadsheets/d/1SX6NBoVAgQJ6U1MVXOaj8PK2l7WJ3RER9xtqwdhxkhw/edit?usp=sharing"",""ตราด!I428"")"),22)</f>
        <v>22</v>
      </c>
      <c r="J533" s="410">
        <f ca="1">IFERROR(__xludf.DUMMYFUNCTION("IMPORTRANGE(""https://docs.google.com/spreadsheets/d/1SX6NBoVAgQJ6U1MVXOaj8PK2l7WJ3RER9xtqwdhxkhw/edit?usp=sharing"",""ตราด!J428"")"),22)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IFERROR(__xludf.DUMMYFUNCTION("IMPORTRANGE(""https://docs.google.com/spreadsheets/d/1SX6NBoVAgQJ6U1MVXOaj8PK2l7WJ3RER9xtqwdhxkhw/edit?usp=sharing"",""ตราด!L428"")"),34340)</f>
        <v>34340</v>
      </c>
      <c r="M533" s="412"/>
      <c r="N533" s="412">
        <f ca="1">IFERROR(__xludf.DUMMYFUNCTION("IMPORTRANGE(""https://docs.google.com/spreadsheets/d/1SX6NBoVAgQJ6U1MVXOaj8PK2l7WJ3RER9xtqwdhxkhw/edit?usp=sharing"",""ตราด!M428"")"),23174)</f>
        <v>23174</v>
      </c>
      <c r="O533" s="412">
        <f t="shared" ref="O533:O537" ca="1" si="118">+IF(L533&gt;0,N533*100/L533,0)</f>
        <v>67.483983692486902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IFERROR(__xludf.DUMMYFUNCTION("IMPORTRANGE(""https://docs.google.com/spreadsheets/d/1SX6NBoVAgQJ6U1MVXOaj8PK2l7WJ3RER9xtqwdhxkhw/edit?usp=sharing"",""ตราด!L429"")"),0)</f>
        <v>0</v>
      </c>
      <c r="M534" s="164"/>
      <c r="N534" s="169">
        <f ca="1">IFERROR(__xludf.DUMMYFUNCTION("IMPORTRANGE(""https://docs.google.com/spreadsheets/d/1SX6NBoVAgQJ6U1MVXOaj8PK2l7WJ3RER9xtqwdhxkhw/edit?usp=sharing"",""ตราด!M429"")"),0)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IFERROR(__xludf.DUMMYFUNCTION("IMPORTRANGE(""https://docs.google.com/spreadsheets/d/1SX6NBoVAgQJ6U1MVXOaj8PK2l7WJ3RER9xtqwdhxkhw/edit?usp=sharing"",""ตราด!L430"")"),34340)</f>
        <v>34340</v>
      </c>
      <c r="M535" s="165"/>
      <c r="N535" s="169">
        <f ca="1">IFERROR(__xludf.DUMMYFUNCTION("IMPORTRANGE(""https://docs.google.com/spreadsheets/d/1SX6NBoVAgQJ6U1MVXOaj8PK2l7WJ3RER9xtqwdhxkhw/edit?usp=sharing"",""ตราด!M430"")"),23174)</f>
        <v>23174</v>
      </c>
      <c r="O535" s="169">
        <f t="shared" ca="1" si="118"/>
        <v>67.483983692486902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IFERROR(__xludf.DUMMYFUNCTION("IMPORTRANGE(""https://docs.google.com/spreadsheets/d/1SX6NBoVAgQJ6U1MVXOaj8PK2l7WJ3RER9xtqwdhxkhw/edit?usp=sharing"",""ตราด!L431"")"),0)</f>
        <v>0</v>
      </c>
      <c r="M536" s="169"/>
      <c r="N536" s="169">
        <f ca="1">IFERROR(__xludf.DUMMYFUNCTION("IMPORTRANGE(""https://docs.google.com/spreadsheets/d/1SX6NBoVAgQJ6U1MVXOaj8PK2l7WJ3RER9xtqwdhxkhw/edit?usp=sharing"",""ตราด!M431"")"),0)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IFERROR(__xludf.DUMMYFUNCTION("IMPORTRANGE(""https://docs.google.com/spreadsheets/d/1SX6NBoVAgQJ6U1MVXOaj8PK2l7WJ3RER9xtqwdhxkhw/edit?usp=sharing"",""ตราด!L432"")"),34340)</f>
        <v>34340</v>
      </c>
      <c r="M537" s="169"/>
      <c r="N537" s="169">
        <f ca="1">IFERROR(__xludf.DUMMYFUNCTION("IMPORTRANGE(""https://docs.google.com/spreadsheets/d/1SX6NBoVAgQJ6U1MVXOaj8PK2l7WJ3RER9xtqwdhxkhw/edit?usp=sharing"",""ตราด!M432"")"),23174)</f>
        <v>23174</v>
      </c>
      <c r="O537" s="169">
        <f t="shared" ca="1" si="118"/>
        <v>67.483983692486902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IFERROR(__xludf.DUMMYFUNCTION("IMPORTRANGE(""https://docs.google.com/spreadsheets/d/1SX6NBoVAgQJ6U1MVXOaj8PK2l7WJ3RER9xtqwdhxkhw/edit?usp=sharing"",""ตราด!M433"")"),16828)</f>
        <v>16828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IFERROR(__xludf.DUMMYFUNCTION("IMPORTRANGE(""https://docs.google.com/spreadsheets/d/1SX6NBoVAgQJ6U1MVXOaj8PK2l7WJ3RER9xtqwdhxkhw/edit?usp=sharing"",""ตราด!M434"")"),0)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IFERROR(__xludf.DUMMYFUNCTION("IMPORTRANGE(""https://docs.google.com/spreadsheets/d/1SX6NBoVAgQJ6U1MVXOaj8PK2l7WJ3RER9xtqwdhxkhw/edit?usp=sharing"",""ตราด!M435"")"),0)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IFERROR(__xludf.DUMMYFUNCTION("IMPORTRANGE(""https://docs.google.com/spreadsheets/d/1SX6NBoVAgQJ6U1MVXOaj8PK2l7WJ3RER9xtqwdhxkhw/edit?usp=sharing"",""ตราด!M436"")"),6346)</f>
        <v>6346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IFERROR(__xludf.DUMMYFUNCTION("IMPORTRANGE(""https://docs.google.com/spreadsheets/d/1SX6NBoVAgQJ6U1MVXOaj8PK2l7WJ3RER9xtqwdhxkhw/edit?usp=sharing"",""ตราด!J438"")"),0)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IFERROR(__xludf.DUMMYFUNCTION("IMPORTRANGE(""https://docs.google.com/spreadsheets/d/1SX6NBoVAgQJ6U1MVXOaj8PK2l7WJ3RER9xtqwdhxkhw/edit?usp=sharing"",""ตราด!J439"")"),1)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IFERROR(__xludf.DUMMYFUNCTION("IMPORTRANGE(""https://docs.google.com/spreadsheets/d/1SX6NBoVAgQJ6U1MVXOaj8PK2l7WJ3RER9xtqwdhxkhw/edit?usp=sharing"",""ตราด!J440"")"),1)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IFERROR(__xludf.DUMMYFUNCTION("IMPORTRANGE(""https://docs.google.com/spreadsheets/d/1SX6NBoVAgQJ6U1MVXOaj8PK2l7WJ3RER9xtqwdhxkhw/edit?usp=sharing"",""ตราด!J441"")"),1)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IFERROR(__xludf.DUMMYFUNCTION("IMPORTRANGE(""https://docs.google.com/spreadsheets/d/1SX6NBoVAgQJ6U1MVXOaj8PK2l7WJ3RER9xtqwdhxkhw/edit?usp=sharing"",""ตราด!I442"")"),22)</f>
        <v>22</v>
      </c>
      <c r="J547" s="189">
        <f ca="1">IFERROR(__xludf.DUMMYFUNCTION("IMPORTRANGE(""https://docs.google.com/spreadsheets/d/1SX6NBoVAgQJ6U1MVXOaj8PK2l7WJ3RER9xtqwdhxkhw/edit?usp=sharing"",""ตราด!J442"")"),22)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IFERROR(__xludf.DUMMYFUNCTION("IMPORTRANGE(""https://docs.google.com/spreadsheets/d/1SX6NBoVAgQJ6U1MVXOaj8PK2l7WJ3RER9xtqwdhxkhw/edit?usp=sharing"",""ตราด!J166"")"),0)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IFERROR(__xludf.DUMMYFUNCTION("IMPORTRANGE(""https://docs.google.com/spreadsheets/d/1SX6NBoVAgQJ6U1MVXOaj8PK2l7WJ3RER9xtqwdhxkhw/edit?usp=sharing"",""ตราด!J444"")"),0)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IFERROR(__xludf.DUMMYFUNCTION("IMPORTRANGE(""https://docs.google.com/spreadsheets/d/1SX6NBoVAgQJ6U1MVXOaj8PK2l7WJ3RER9xtqwdhxkhw/edit?usp=sharing"",""ตราด!J445"")"),0)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IFERROR(__xludf.DUMMYFUNCTION("IMPORTRANGE(""https://docs.google.com/spreadsheets/d/1SX6NBoVAgQJ6U1MVXOaj8PK2l7WJ3RER9xtqwdhxkhw/edit?usp=sharing"",""ตราด!I446"")"),0)</f>
        <v>0</v>
      </c>
      <c r="J551" s="410">
        <f ca="1">IFERROR(__xludf.DUMMYFUNCTION("IMPORTRANGE(""https://docs.google.com/spreadsheets/d/1SX6NBoVAgQJ6U1MVXOaj8PK2l7WJ3RER9xtqwdhxkhw/edit?usp=sharing"",""ตราด!J446"")"),0)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IFERROR(__xludf.DUMMYFUNCTION("IMPORTRANGE(""https://docs.google.com/spreadsheets/d/1SX6NBoVAgQJ6U1MVXOaj8PK2l7WJ3RER9xtqwdhxkhw/edit?usp=sharing"",""ตราด!L446"")"),0)</f>
        <v>0</v>
      </c>
      <c r="M551" s="412"/>
      <c r="N551" s="412">
        <f ca="1">IFERROR(__xludf.DUMMYFUNCTION("IMPORTRANGE(""https://docs.google.com/spreadsheets/d/1SX6NBoVAgQJ6U1MVXOaj8PK2l7WJ3RER9xtqwdhxkhw/edit?usp=sharing"",""ตราด!M446"")"),0)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IFERROR(__xludf.DUMMYFUNCTION("IMPORTRANGE(""https://docs.google.com/spreadsheets/d/1SX6NBoVAgQJ6U1MVXOaj8PK2l7WJ3RER9xtqwdhxkhw/edit?usp=sharing"",""ตราด!L447"")"),0)</f>
        <v>0</v>
      </c>
      <c r="M552" s="164"/>
      <c r="N552" s="169">
        <f ca="1">IFERROR(__xludf.DUMMYFUNCTION("IMPORTRANGE(""https://docs.google.com/spreadsheets/d/1SX6NBoVAgQJ6U1MVXOaj8PK2l7WJ3RER9xtqwdhxkhw/edit?usp=sharing"",""ตราด!M447"")"),0)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IFERROR(__xludf.DUMMYFUNCTION("IMPORTRANGE(""https://docs.google.com/spreadsheets/d/1SX6NBoVAgQJ6U1MVXOaj8PK2l7WJ3RER9xtqwdhxkhw/edit?usp=sharing"",""ตราด!L448"")"),0)</f>
        <v>0</v>
      </c>
      <c r="M553" s="165"/>
      <c r="N553" s="169">
        <f ca="1">IFERROR(__xludf.DUMMYFUNCTION("IMPORTRANGE(""https://docs.google.com/spreadsheets/d/1SX6NBoVAgQJ6U1MVXOaj8PK2l7WJ3RER9xtqwdhxkhw/edit?usp=sharing"",""ตราด!M448"")"),0)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IFERROR(__xludf.DUMMYFUNCTION("IMPORTRANGE(""https://docs.google.com/spreadsheets/d/1SX6NBoVAgQJ6U1MVXOaj8PK2l7WJ3RER9xtqwdhxkhw/edit?usp=sharing"",""ตราด!L449"")"),0)</f>
        <v>0</v>
      </c>
      <c r="M554" s="169"/>
      <c r="N554" s="169">
        <f ca="1">IFERROR(__xludf.DUMMYFUNCTION("IMPORTRANGE(""https://docs.google.com/spreadsheets/d/1SX6NBoVAgQJ6U1MVXOaj8PK2l7WJ3RER9xtqwdhxkhw/edit?usp=sharing"",""ตราด!M449"")"),0)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IFERROR(__xludf.DUMMYFUNCTION("IMPORTRANGE(""https://docs.google.com/spreadsheets/d/1SX6NBoVAgQJ6U1MVXOaj8PK2l7WJ3RER9xtqwdhxkhw/edit?usp=sharing"",""ตราด!L450"")"),0)</f>
        <v>0</v>
      </c>
      <c r="M555" s="169"/>
      <c r="N555" s="169">
        <f ca="1">IFERROR(__xludf.DUMMYFUNCTION("IMPORTRANGE(""https://docs.google.com/spreadsheets/d/1SX6NBoVAgQJ6U1MVXOaj8PK2l7WJ3RER9xtqwdhxkhw/edit?usp=sharing"",""ตราด!M450"")"),0)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IFERROR(__xludf.DUMMYFUNCTION("IMPORTRANGE(""https://docs.google.com/spreadsheets/d/1SX6NBoVAgQJ6U1MVXOaj8PK2l7WJ3RER9xtqwdhxkhw/edit?usp=sharing"",""ตราด!M451"")"),0)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IFERROR(__xludf.DUMMYFUNCTION("IMPORTRANGE(""https://docs.google.com/spreadsheets/d/1SX6NBoVAgQJ6U1MVXOaj8PK2l7WJ3RER9xtqwdhxkhw/edit?usp=sharing"",""ตราด!M452"")"),0)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IFERROR(__xludf.DUMMYFUNCTION("IMPORTRANGE(""https://docs.google.com/spreadsheets/d/1SX6NBoVAgQJ6U1MVXOaj8PK2l7WJ3RER9xtqwdhxkhw/edit?usp=sharing"",""ตราด!M453"")"),0)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IFERROR(__xludf.DUMMYFUNCTION("IMPORTRANGE(""https://docs.google.com/spreadsheets/d/1SX6NBoVAgQJ6U1MVXOaj8PK2l7WJ3RER9xtqwdhxkhw/edit?usp=sharing"",""ตราด!M454"")"),0)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IFERROR(__xludf.DUMMYFUNCTION("IMPORTRANGE(""https://docs.google.com/spreadsheets/d/1SX6NBoVAgQJ6U1MVXOaj8PK2l7WJ3RER9xtqwdhxkhw/edit?usp=sharing"",""ตราด!I455"")"),0)</f>
        <v>0</v>
      </c>
      <c r="J560" s="162">
        <f ca="1">IFERROR(__xludf.DUMMYFUNCTION("IMPORTRANGE(""https://docs.google.com/spreadsheets/d/1SX6NBoVAgQJ6U1MVXOaj8PK2l7WJ3RER9xtqwdhxkhw/edit?usp=sharing"",""ตราด!J455"")"),0)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IFERROR(__xludf.DUMMYFUNCTION("IMPORTRANGE(""https://docs.google.com/spreadsheets/d/1SX6NBoVAgQJ6U1MVXOaj8PK2l7WJ3RER9xtqwdhxkhw/edit?usp=sharing"",""ตราด!I456"")"),0)</f>
        <v>0</v>
      </c>
      <c r="J561" s="204">
        <f ca="1">IFERROR(__xludf.DUMMYFUNCTION("IMPORTRANGE(""https://docs.google.com/spreadsheets/d/1SX6NBoVAgQJ6U1MVXOaj8PK2l7WJ3RER9xtqwdhxkhw/edit?usp=sharing"",""ตราด!J456"")"),0)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IFERROR(__xludf.DUMMYFUNCTION("IMPORTRANGE(""https://docs.google.com/spreadsheets/d/1SX6NBoVAgQJ6U1MVXOaj8PK2l7WJ3RER9xtqwdhxkhw/edit?usp=sharing"",""ตราด!I459"")"),700)</f>
        <v>700</v>
      </c>
      <c r="J564" s="371">
        <f ca="1">IFERROR(__xludf.DUMMYFUNCTION("IMPORTRANGE(""https://docs.google.com/spreadsheets/d/1SX6NBoVAgQJ6U1MVXOaj8PK2l7WJ3RER9xtqwdhxkhw/edit?usp=sharing"",""ตราด!J459"")"),472)</f>
        <v>472</v>
      </c>
      <c r="K564" s="372">
        <f ca="1">IF(I564&gt;0,J564*100/I564,0)</f>
        <v>67.428571428571431</v>
      </c>
      <c r="L564" s="373">
        <f ca="1">IFERROR(__xludf.DUMMYFUNCTION("IMPORTRANGE(""https://docs.google.com/spreadsheets/d/1SX6NBoVAgQJ6U1MVXOaj8PK2l7WJ3RER9xtqwdhxkhw/edit?usp=sharing"",""ตราด!L459"")"),120720)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IFERROR(__xludf.DUMMYFUNCTION("IMPORTRANGE(""https://docs.google.com/spreadsheets/d/1SX6NBoVAgQJ6U1MVXOaj8PK2l7WJ3RER9xtqwdhxkhw/edit?usp=sharing"",""ตราด!M459"")"),27635)</f>
        <v>27635</v>
      </c>
      <c r="O564" s="373">
        <f t="shared" ref="O564:O568" ca="1" si="122">+IF(L564&gt;0,N564*100/L564,0)</f>
        <v>22.891815772034459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IFERROR(__xludf.DUMMYFUNCTION("IMPORTRANGE(""https://docs.google.com/spreadsheets/d/1SX6NBoVAgQJ6U1MVXOaj8PK2l7WJ3RER9xtqwdhxkhw/edit?usp=sharing"",""ตราด!L460"")"),0)</f>
        <v>0</v>
      </c>
      <c r="M565" s="164"/>
      <c r="N565" s="169">
        <f ca="1">IFERROR(__xludf.DUMMYFUNCTION("IMPORTRANGE(""https://docs.google.com/spreadsheets/d/1SX6NBoVAgQJ6U1MVXOaj8PK2l7WJ3RER9xtqwdhxkhw/edit?usp=sharing"",""ตราด!M460"")"),0)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IFERROR(__xludf.DUMMYFUNCTION("IMPORTRANGE(""https://docs.google.com/spreadsheets/d/1SX6NBoVAgQJ6U1MVXOaj8PK2l7WJ3RER9xtqwdhxkhw/edit?usp=sharing"",""ตราด!L461"")"),120720)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IFERROR(__xludf.DUMMYFUNCTION("IMPORTRANGE(""https://docs.google.com/spreadsheets/d/1SX6NBoVAgQJ6U1MVXOaj8PK2l7WJ3RER9xtqwdhxkhw/edit?usp=sharing"",""ตราด!M461"")"),27635)</f>
        <v>27635</v>
      </c>
      <c r="O566" s="169">
        <f t="shared" ca="1" si="122"/>
        <v>22.891815772034459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IFERROR(__xludf.DUMMYFUNCTION("IMPORTRANGE(""https://docs.google.com/spreadsheets/d/1SX6NBoVAgQJ6U1MVXOaj8PK2l7WJ3RER9xtqwdhxkhw/edit?usp=sharing"",""ตราด!L462"")"),0)</f>
        <v>0</v>
      </c>
      <c r="M567" s="169"/>
      <c r="N567" s="169">
        <f ca="1">IFERROR(__xludf.DUMMYFUNCTION("IMPORTRANGE(""https://docs.google.com/spreadsheets/d/1SX6NBoVAgQJ6U1MVXOaj8PK2l7WJ3RER9xtqwdhxkhw/edit?usp=sharing"",""ตราด!M462"")"),0)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IFERROR(__xludf.DUMMYFUNCTION("IMPORTRANGE(""https://docs.google.com/spreadsheets/d/1SX6NBoVAgQJ6U1MVXOaj8PK2l7WJ3RER9xtqwdhxkhw/edit?usp=sharing"",""ตราด!L463"")"),120720)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IFERROR(__xludf.DUMMYFUNCTION("IMPORTRANGE(""https://docs.google.com/spreadsheets/d/1SX6NBoVAgQJ6U1MVXOaj8PK2l7WJ3RER9xtqwdhxkhw/edit?usp=sharing"",""ตราด!M463"")"),27635)</f>
        <v>27635</v>
      </c>
      <c r="O568" s="169">
        <f t="shared" ca="1" si="122"/>
        <v>22.891815772034459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IFERROR(__xludf.DUMMYFUNCTION("IMPORTRANGE(""https://docs.google.com/spreadsheets/d/1SX6NBoVAgQJ6U1MVXOaj8PK2l7WJ3RER9xtqwdhxkhw/edit?usp=sharing"",""ตราด!M464"")"),0)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IFERROR(__xludf.DUMMYFUNCTION("IMPORTRANGE(""https://docs.google.com/spreadsheets/d/1SX6NBoVAgQJ6U1MVXOaj8PK2l7WJ3RER9xtqwdhxkhw/edit?usp=sharing"",""ตราด!M465"")"),0)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IFERROR(__xludf.DUMMYFUNCTION("IMPORTRANGE(""https://docs.google.com/spreadsheets/d/1SX6NBoVAgQJ6U1MVXOaj8PK2l7WJ3RER9xtqwdhxkhw/edit?usp=sharing"",""ตราด!M466"")"),27635)</f>
        <v>27635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IFERROR(__xludf.DUMMYFUNCTION("IMPORTRANGE(""https://docs.google.com/spreadsheets/d/1SX6NBoVAgQJ6U1MVXOaj8PK2l7WJ3RER9xtqwdhxkhw/edit?usp=sharing"",""ตราด!M467"")"),0)</f>
        <v>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IFERROR(__xludf.DUMMYFUNCTION("IMPORTRANGE(""https://docs.google.com/spreadsheets/d/1SX6NBoVAgQJ6U1MVXOaj8PK2l7WJ3RER9xtqwdhxkhw/edit?usp=sharing"",""ตราด!I468"")"),700)</f>
        <v>700</v>
      </c>
      <c r="J573" s="420">
        <f ca="1">IFERROR(__xludf.DUMMYFUNCTION("IMPORTRANGE(""https://docs.google.com/spreadsheets/d/1SX6NBoVAgQJ6U1MVXOaj8PK2l7WJ3RER9xtqwdhxkhw/edit?usp=sharing"",""ตราด!J468"")"),472)</f>
        <v>472</v>
      </c>
      <c r="K573" s="202">
        <f ca="1">IF(I573&gt;0,J573*100/I573,0)</f>
        <v>67.428571428571431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IFERROR(__xludf.DUMMYFUNCTION("IMPORTRANGE(""https://docs.google.com/spreadsheets/d/1SX6NBoVAgQJ6U1MVXOaj8PK2l7WJ3RER9xtqwdhxkhw/edit?usp=sharing"",""ตราด!I470"")"),0)</f>
        <v>0</v>
      </c>
      <c r="J575" s="198">
        <f ca="1">IFERROR(__xludf.DUMMYFUNCTION("IMPORTRANGE(""https://docs.google.com/spreadsheets/d/1SX6NBoVAgQJ6U1MVXOaj8PK2l7WJ3RER9xtqwdhxkhw/edit?usp=sharing"",""ตราด!J470"")"),0)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IFERROR(__xludf.DUMMYFUNCTION("IMPORTRANGE(""https://docs.google.com/spreadsheets/d/1SX6NBoVAgQJ6U1MVXOaj8PK2l7WJ3RER9xtqwdhxkhw/edit?usp=sharing"",""ตราด!I471"")"),0)</f>
        <v>0</v>
      </c>
      <c r="J576" s="198">
        <f ca="1">IFERROR(__xludf.DUMMYFUNCTION("IMPORTRANGE(""https://docs.google.com/spreadsheets/d/1SX6NBoVAgQJ6U1MVXOaj8PK2l7WJ3RER9xtqwdhxkhw/edit?usp=sharing"",""ตราด!J471"")"),0)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IFERROR(__xludf.DUMMYFUNCTION("IMPORTRANGE(""https://docs.google.com/spreadsheets/d/1SX6NBoVAgQJ6U1MVXOaj8PK2l7WJ3RER9xtqwdhxkhw/edit?usp=sharing"",""ตราด!I472"")"),0)</f>
        <v>0</v>
      </c>
      <c r="J577" s="189">
        <f ca="1">IFERROR(__xludf.DUMMYFUNCTION("IMPORTRANGE(""https://docs.google.com/spreadsheets/d/1SX6NBoVAgQJ6U1MVXOaj8PK2l7WJ3RER9xtqwdhxkhw/edit?usp=sharing"",""ตราด!J472"")"),472)</f>
        <v>472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IFERROR(__xludf.DUMMYFUNCTION("IMPORTRANGE(""https://docs.google.com/spreadsheets/d/1SX6NBoVAgQJ6U1MVXOaj8PK2l7WJ3RER9xtqwdhxkhw/edit?usp=sharing"",""ตราด!I473"")"),0)</f>
        <v>0</v>
      </c>
      <c r="J578" s="198">
        <f ca="1">IFERROR(__xludf.DUMMYFUNCTION("IMPORTRANGE(""https://docs.google.com/spreadsheets/d/1SX6NBoVAgQJ6U1MVXOaj8PK2l7WJ3RER9xtqwdhxkhw/edit?usp=sharing"",""ตราด!J473"")"),0)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IFERROR(__xludf.DUMMYFUNCTION("IMPORTRANGE(""https://docs.google.com/spreadsheets/d/1SX6NBoVAgQJ6U1MVXOaj8PK2l7WJ3RER9xtqwdhxkhw/edit?usp=sharing"",""ตราด!I474"")"),0)</f>
        <v>0</v>
      </c>
      <c r="J579" s="198">
        <f ca="1">IFERROR(__xludf.DUMMYFUNCTION("IMPORTRANGE(""https://docs.google.com/spreadsheets/d/1SX6NBoVAgQJ6U1MVXOaj8PK2l7WJ3RER9xtqwdhxkhw/edit?usp=sharing"",""ตราด!J474"")"),0)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IFERROR(__xludf.DUMMYFUNCTION("IMPORTRANGE(""https://docs.google.com/spreadsheets/d/1SX6NBoVAgQJ6U1MVXOaj8PK2l7WJ3RER9xtqwdhxkhw/edit?usp=sharing"",""ตราด!I475"")"),0)</f>
        <v>0</v>
      </c>
      <c r="J580" s="371">
        <f ca="1">IFERROR(__xludf.DUMMYFUNCTION("IMPORTRANGE(""https://docs.google.com/spreadsheets/d/1SX6NBoVAgQJ6U1MVXOaj8PK2l7WJ3RER9xtqwdhxkhw/edit?usp=sharing"",""ตราด!J475"")"),0)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IFERROR(__xludf.DUMMYFUNCTION("IMPORTRANGE(""https://docs.google.com/spreadsheets/d/1SX6NBoVAgQJ6U1MVXOaj8PK2l7WJ3RER9xtqwdhxkhw/edit?usp=sharing"",""ตราด!L475"")"),0)</f>
        <v>0</v>
      </c>
      <c r="M580" s="373"/>
      <c r="N580" s="373">
        <f ca="1">IFERROR(__xludf.DUMMYFUNCTION("IMPORTRANGE(""https://docs.google.com/spreadsheets/d/1SX6NBoVAgQJ6U1MVXOaj8PK2l7WJ3RER9xtqwdhxkhw/edit?usp=sharing"",""ตราด!M475"")"),0)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IFERROR(__xludf.DUMMYFUNCTION("IMPORTRANGE(""https://docs.google.com/spreadsheets/d/1SX6NBoVAgQJ6U1MVXOaj8PK2l7WJ3RER9xtqwdhxkhw/edit?usp=sharing"",""ตราด!L476"")"),0)</f>
        <v>0</v>
      </c>
      <c r="M581" s="164"/>
      <c r="N581" s="169">
        <f ca="1">IFERROR(__xludf.DUMMYFUNCTION("IMPORTRANGE(""https://docs.google.com/spreadsheets/d/1SX6NBoVAgQJ6U1MVXOaj8PK2l7WJ3RER9xtqwdhxkhw/edit?usp=sharing"",""ตราด!M476"")"),0)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IFERROR(__xludf.DUMMYFUNCTION("IMPORTRANGE(""https://docs.google.com/spreadsheets/d/1SX6NBoVAgQJ6U1MVXOaj8PK2l7WJ3RER9xtqwdhxkhw/edit?usp=sharing"",""ตราด!L477"")"),0)</f>
        <v>0</v>
      </c>
      <c r="M582" s="165"/>
      <c r="N582" s="169">
        <f ca="1">IFERROR(__xludf.DUMMYFUNCTION("IMPORTRANGE(""https://docs.google.com/spreadsheets/d/1SX6NBoVAgQJ6U1MVXOaj8PK2l7WJ3RER9xtqwdhxkhw/edit?usp=sharing"",""ตราด!M477"")"),0)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IFERROR(__xludf.DUMMYFUNCTION("IMPORTRANGE(""https://docs.google.com/spreadsheets/d/1SX6NBoVAgQJ6U1MVXOaj8PK2l7WJ3RER9xtqwdhxkhw/edit?usp=sharing"",""ตราด!L478"")"),0)</f>
        <v>0</v>
      </c>
      <c r="M583" s="169"/>
      <c r="N583" s="169">
        <f ca="1">IFERROR(__xludf.DUMMYFUNCTION("IMPORTRANGE(""https://docs.google.com/spreadsheets/d/1SX6NBoVAgQJ6U1MVXOaj8PK2l7WJ3RER9xtqwdhxkhw/edit?usp=sharing"",""ตราด!M478"")"),0)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IFERROR(__xludf.DUMMYFUNCTION("IMPORTRANGE(""https://docs.google.com/spreadsheets/d/1SX6NBoVAgQJ6U1MVXOaj8PK2l7WJ3RER9xtqwdhxkhw/edit?usp=sharing"",""ตราด!L479"")"),0)</f>
        <v>0</v>
      </c>
      <c r="M584" s="169"/>
      <c r="N584" s="169">
        <f ca="1">IFERROR(__xludf.DUMMYFUNCTION("IMPORTRANGE(""https://docs.google.com/spreadsheets/d/1SX6NBoVAgQJ6U1MVXOaj8PK2l7WJ3RER9xtqwdhxkhw/edit?usp=sharing"",""ตราด!M479"")"),0)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IFERROR(__xludf.DUMMYFUNCTION("IMPORTRANGE(""https://docs.google.com/spreadsheets/d/1SX6NBoVAgQJ6U1MVXOaj8PK2l7WJ3RER9xtqwdhxkhw/edit?usp=sharing"",""ตราด!M480"")"),0)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IFERROR(__xludf.DUMMYFUNCTION("IMPORTRANGE(""https://docs.google.com/spreadsheets/d/1SX6NBoVAgQJ6U1MVXOaj8PK2l7WJ3RER9xtqwdhxkhw/edit?usp=sharing"",""ตราด!M481"")"),0)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IFERROR(__xludf.DUMMYFUNCTION("IMPORTRANGE(""https://docs.google.com/spreadsheets/d/1SX6NBoVAgQJ6U1MVXOaj8PK2l7WJ3RER9xtqwdhxkhw/edit?usp=sharing"",""ตราด!M482"")"),0)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IFERROR(__xludf.DUMMYFUNCTION("IMPORTRANGE(""https://docs.google.com/spreadsheets/d/1SX6NBoVAgQJ6U1MVXOaj8PK2l7WJ3RER9xtqwdhxkhw/edit?usp=sharing"",""ตราด!M483"")"),0)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IFERROR(__xludf.DUMMYFUNCTION("IMPORTRANGE(""https://docs.google.com/spreadsheets/d/1SX6NBoVAgQJ6U1MVXOaj8PK2l7WJ3RER9xtqwdhxkhw/edit?usp=sharing"",""ตราด!I484"")"),0)</f>
        <v>0</v>
      </c>
      <c r="J589" s="188">
        <f ca="1">IFERROR(__xludf.DUMMYFUNCTION("IMPORTRANGE(""https://docs.google.com/spreadsheets/d/1SX6NBoVAgQJ6U1MVXOaj8PK2l7WJ3RER9xtqwdhxkhw/edit?usp=sharing"",""ตราด!J484"")"),0)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IFERROR(__xludf.DUMMYFUNCTION("IMPORTRANGE(""https://docs.google.com/spreadsheets/d/1SX6NBoVAgQJ6U1MVXOaj8PK2l7WJ3RER9xtqwdhxkhw/edit?usp=sharing"",""ตราด!I485"")"),0)</f>
        <v>0</v>
      </c>
      <c r="J590" s="188">
        <f ca="1">IFERROR(__xludf.DUMMYFUNCTION("IMPORTRANGE(""https://docs.google.com/spreadsheets/d/1SX6NBoVAgQJ6U1MVXOaj8PK2l7WJ3RER9xtqwdhxkhw/edit?usp=sharing"",""ตราด!J485"")"),0)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IFERROR(__xludf.DUMMYFUNCTION("IMPORTRANGE(""https://docs.google.com/spreadsheets/d/1SX6NBoVAgQJ6U1MVXOaj8PK2l7WJ3RER9xtqwdhxkhw/edit?usp=sharing"",""ตราด!I486"")"),0)</f>
        <v>0</v>
      </c>
      <c r="J591" s="188">
        <f ca="1">IFERROR(__xludf.DUMMYFUNCTION("IMPORTRANGE(""https://docs.google.com/spreadsheets/d/1SX6NBoVAgQJ6U1MVXOaj8PK2l7WJ3RER9xtqwdhxkhw/edit?usp=sharing"",""ตราด!J486"")"),0)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IFERROR(__xludf.DUMMYFUNCTION("IMPORTRANGE(""https://docs.google.com/spreadsheets/d/1SX6NBoVAgQJ6U1MVXOaj8PK2l7WJ3RER9xtqwdhxkhw/edit?usp=sharing"",""ตราด!I487"")"),0)</f>
        <v>0</v>
      </c>
      <c r="J592" s="188">
        <f ca="1">IFERROR(__xludf.DUMMYFUNCTION("IMPORTRANGE(""https://docs.google.com/spreadsheets/d/1SX6NBoVAgQJ6U1MVXOaj8PK2l7WJ3RER9xtqwdhxkhw/edit?usp=sharing"",""ตราด!J487"")"),0)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IFERROR(__xludf.DUMMYFUNCTION("IMPORTRANGE(""https://docs.google.com/spreadsheets/d/1SX6NBoVAgQJ6U1MVXOaj8PK2l7WJ3RER9xtqwdhxkhw/edit?usp=sharing"",""ตราด!I488"")"),0)</f>
        <v>0</v>
      </c>
      <c r="J593" s="188">
        <f ca="1">IFERROR(__xludf.DUMMYFUNCTION("IMPORTRANGE(""https://docs.google.com/spreadsheets/d/1SX6NBoVAgQJ6U1MVXOaj8PK2l7WJ3RER9xtqwdhxkhw/edit?usp=sharing"",""ตราด!J488"")"),0)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IFERROR(__xludf.DUMMYFUNCTION("IMPORTRANGE(""https://docs.google.com/spreadsheets/d/1SX6NBoVAgQJ6U1MVXOaj8PK2l7WJ3RER9xtqwdhxkhw/edit?usp=sharing"",""ตราด!I489"")"),0)</f>
        <v>0</v>
      </c>
      <c r="J594" s="188">
        <f ca="1">IFERROR(__xludf.DUMMYFUNCTION("IMPORTRANGE(""https://docs.google.com/spreadsheets/d/1SX6NBoVAgQJ6U1MVXOaj8PK2l7WJ3RER9xtqwdhxkhw/edit?usp=sharing"",""ตราด!J489"")"),0)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IFERROR(__xludf.DUMMYFUNCTION("IMPORTRANGE(""https://docs.google.com/spreadsheets/d/1SX6NBoVAgQJ6U1MVXOaj8PK2l7WJ3RER9xtqwdhxkhw/edit?usp=sharing"",""ตราด!I490"")"),0)</f>
        <v>0</v>
      </c>
      <c r="J595" s="188">
        <f ca="1">IFERROR(__xludf.DUMMYFUNCTION("IMPORTRANGE(""https://docs.google.com/spreadsheets/d/1SX6NBoVAgQJ6U1MVXOaj8PK2l7WJ3RER9xtqwdhxkhw/edit?usp=sharing"",""ตราด!J490"")"),0)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IFERROR(__xludf.DUMMYFUNCTION("IMPORTRANGE(""https://docs.google.com/spreadsheets/d/1SX6NBoVAgQJ6U1MVXOaj8PK2l7WJ3RER9xtqwdhxkhw/edit?usp=sharing"",""ตราด!I491"")"),0)</f>
        <v>0</v>
      </c>
      <c r="J596" s="241">
        <f ca="1">IFERROR(__xludf.DUMMYFUNCTION("IMPORTRANGE(""https://docs.google.com/spreadsheets/d/1SX6NBoVAgQJ6U1MVXOaj8PK2l7WJ3RER9xtqwdhxkhw/edit?usp=sharing"",""ตราด!J491"")"),0)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IFERROR(__xludf.DUMMYFUNCTION("IMPORTRANGE(""https://docs.google.com/spreadsheets/d/1SX6NBoVAgQJ6U1MVXOaj8PK2l7WJ3RER9xtqwdhxkhw/edit?usp=sharing"",""ตราด!I492"")"),50)</f>
        <v>50</v>
      </c>
      <c r="J597" s="487">
        <f ca="1">IFERROR(__xludf.DUMMYFUNCTION("IMPORTRANGE(""https://docs.google.com/spreadsheets/d/1SX6NBoVAgQJ6U1MVXOaj8PK2l7WJ3RER9xtqwdhxkhw/edit?usp=sharing"",""ตราด!J492"")"),0)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IFERROR(__xludf.DUMMYFUNCTION("IMPORTRANGE(""https://docs.google.com/spreadsheets/d/1SX6NBoVAgQJ6U1MVXOaj8PK2l7WJ3RER9xtqwdhxkhw/edit?usp=sharing"",""ตราด!L492"")"),6150)</f>
        <v>6150</v>
      </c>
      <c r="M597" s="412"/>
      <c r="N597" s="412">
        <f ca="1">IFERROR(__xludf.DUMMYFUNCTION("IMPORTRANGE(""https://docs.google.com/spreadsheets/d/1SX6NBoVAgQJ6U1MVXOaj8PK2l7WJ3RER9xtqwdhxkhw/edit?usp=sharing"",""ตราด!M492"")"),3400)</f>
        <v>3400</v>
      </c>
      <c r="O597" s="412">
        <f t="shared" ref="O597:O601" ca="1" si="126">+IF(L597&gt;0,N597*100/L597,0)</f>
        <v>55.284552845528452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IFERROR(__xludf.DUMMYFUNCTION("IMPORTRANGE(""https://docs.google.com/spreadsheets/d/1SX6NBoVAgQJ6U1MVXOaj8PK2l7WJ3RER9xtqwdhxkhw/edit?usp=sharing"",""ตราด!L493"")"),0)</f>
        <v>0</v>
      </c>
      <c r="M598" s="164"/>
      <c r="N598" s="169">
        <f ca="1">IFERROR(__xludf.DUMMYFUNCTION("IMPORTRANGE(""https://docs.google.com/spreadsheets/d/1SX6NBoVAgQJ6U1MVXOaj8PK2l7WJ3RER9xtqwdhxkhw/edit?usp=sharing"",""ตราด!M493"")"),0)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IFERROR(__xludf.DUMMYFUNCTION("IMPORTRANGE(""https://docs.google.com/spreadsheets/d/1SX6NBoVAgQJ6U1MVXOaj8PK2l7WJ3RER9xtqwdhxkhw/edit?usp=sharing"",""ตราด!L494"")"),6150)</f>
        <v>6150</v>
      </c>
      <c r="M599" s="165"/>
      <c r="N599" s="169">
        <f ca="1">IFERROR(__xludf.DUMMYFUNCTION("IMPORTRANGE(""https://docs.google.com/spreadsheets/d/1SX6NBoVAgQJ6U1MVXOaj8PK2l7WJ3RER9xtqwdhxkhw/edit?usp=sharing"",""ตราด!M494"")"),3400)</f>
        <v>3400</v>
      </c>
      <c r="O599" s="169">
        <f t="shared" ca="1" si="126"/>
        <v>55.284552845528452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IFERROR(__xludf.DUMMYFUNCTION("IMPORTRANGE(""https://docs.google.com/spreadsheets/d/1SX6NBoVAgQJ6U1MVXOaj8PK2l7WJ3RER9xtqwdhxkhw/edit?usp=sharing"",""ตราด!L495"")"),0)</f>
        <v>0</v>
      </c>
      <c r="M600" s="169"/>
      <c r="N600" s="169">
        <f ca="1">IFERROR(__xludf.DUMMYFUNCTION("IMPORTRANGE(""https://docs.google.com/spreadsheets/d/1SX6NBoVAgQJ6U1MVXOaj8PK2l7WJ3RER9xtqwdhxkhw/edit?usp=sharing"",""ตราด!M495"")"),0)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IFERROR(__xludf.DUMMYFUNCTION("IMPORTRANGE(""https://docs.google.com/spreadsheets/d/1SX6NBoVAgQJ6U1MVXOaj8PK2l7WJ3RER9xtqwdhxkhw/edit?usp=sharing"",""ตราด!L496"")"),6150)</f>
        <v>6150</v>
      </c>
      <c r="M601" s="169"/>
      <c r="N601" s="169">
        <f ca="1">IFERROR(__xludf.DUMMYFUNCTION("IMPORTRANGE(""https://docs.google.com/spreadsheets/d/1SX6NBoVAgQJ6U1MVXOaj8PK2l7WJ3RER9xtqwdhxkhw/edit?usp=sharing"",""ตราด!M496"")"),3400)</f>
        <v>3400</v>
      </c>
      <c r="O601" s="169">
        <f t="shared" ca="1" si="126"/>
        <v>55.284552845528452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IFERROR(__xludf.DUMMYFUNCTION("IMPORTRANGE(""https://docs.google.com/spreadsheets/d/1SX6NBoVAgQJ6U1MVXOaj8PK2l7WJ3RER9xtqwdhxkhw/edit?usp=sharing"",""ตราด!M497"")"),0)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IFERROR(__xludf.DUMMYFUNCTION("IMPORTRANGE(""https://docs.google.com/spreadsheets/d/1SX6NBoVAgQJ6U1MVXOaj8PK2l7WJ3RER9xtqwdhxkhw/edit?usp=sharing"",""ตราด!M498"")"),0)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IFERROR(__xludf.DUMMYFUNCTION("IMPORTRANGE(""https://docs.google.com/spreadsheets/d/1SX6NBoVAgQJ6U1MVXOaj8PK2l7WJ3RER9xtqwdhxkhw/edit?usp=sharing"",""ตราด!M499"")"),0)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IFERROR(__xludf.DUMMYFUNCTION("IMPORTRANGE(""https://docs.google.com/spreadsheets/d/1SX6NBoVAgQJ6U1MVXOaj8PK2l7WJ3RER9xtqwdhxkhw/edit?usp=sharing"",""ตราด!M500"")"),3400)</f>
        <v>3400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IFERROR(__xludf.DUMMYFUNCTION("IMPORTRANGE(""https://docs.google.com/spreadsheets/d/1SX6NBoVAgQJ6U1MVXOaj8PK2l7WJ3RER9xtqwdhxkhw/edit?usp=sharing"",""ตราด!J502"")"),0)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IFERROR(__xludf.DUMMYFUNCTION("IMPORTRANGE(""https://docs.google.com/spreadsheets/d/1SX6NBoVAgQJ6U1MVXOaj8PK2l7WJ3RER9xtqwdhxkhw/edit?usp=sharing"",""ตราด!J503"")"),1)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IFERROR(__xludf.DUMMYFUNCTION("IMPORTRANGE(""https://docs.google.com/spreadsheets/d/1SX6NBoVAgQJ6U1MVXOaj8PK2l7WJ3RER9xtqwdhxkhw/edit?usp=sharing"",""ตราด!J166"")"),0)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IFERROR(__xludf.DUMMYFUNCTION("IMPORTRANGE(""https://docs.google.com/spreadsheets/d/1SX6NBoVAgQJ6U1MVXOaj8PK2l7WJ3RER9xtqwdhxkhw/edit?usp=sharing"",""ตราด!J166"")"),0)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IFERROR(__xludf.DUMMYFUNCTION("IMPORTRANGE(""https://docs.google.com/spreadsheets/d/1SX6NBoVAgQJ6U1MVXOaj8PK2l7WJ3RER9xtqwdhxkhw/edit?usp=sharing"",""ตราด!I506"")"),50)</f>
        <v>50</v>
      </c>
      <c r="J611" s="162">
        <f ca="1">IFERROR(__xludf.DUMMYFUNCTION("IMPORTRANGE(""https://docs.google.com/spreadsheets/d/1SX6NBoVAgQJ6U1MVXOaj8PK2l7WJ3RER9xtqwdhxkhw/edit?usp=sharing"",""ตราด!J506"")"),0)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IFERROR(__xludf.DUMMYFUNCTION("IMPORTRANGE(""https://docs.google.com/spreadsheets/d/1SX6NBoVAgQJ6U1MVXOaj8PK2l7WJ3RER9xtqwdhxkhw/edit?usp=sharing"",""ตราด!I507"")"),0)</f>
        <v>0</v>
      </c>
      <c r="J612" s="198">
        <f ca="1">IFERROR(__xludf.DUMMYFUNCTION("IMPORTRANGE(""https://docs.google.com/spreadsheets/d/1SX6NBoVAgQJ6U1MVXOaj8PK2l7WJ3RER9xtqwdhxkhw/edit?usp=sharing"",""ตราด!J507"")"),0)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IFERROR(__xludf.DUMMYFUNCTION("IMPORTRANGE(""https://docs.google.com/spreadsheets/d/1SX6NBoVAgQJ6U1MVXOaj8PK2l7WJ3RER9xtqwdhxkhw/edit?usp=sharing"",""ตราด!I508"")"),0)</f>
        <v>0</v>
      </c>
      <c r="J613" s="198">
        <f ca="1">IFERROR(__xludf.DUMMYFUNCTION("IMPORTRANGE(""https://docs.google.com/spreadsheets/d/1SX6NBoVAgQJ6U1MVXOaj8PK2l7WJ3RER9xtqwdhxkhw/edit?usp=sharing"",""ตราด!J508"")"),0)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IFERROR(__xludf.DUMMYFUNCTION("IMPORTRANGE(""https://docs.google.com/spreadsheets/d/1SX6NBoVAgQJ6U1MVXOaj8PK2l7WJ3RER9xtqwdhxkhw/edit?usp=sharing"",""ตราด!I509"")"),0)</f>
        <v>0</v>
      </c>
      <c r="J614" s="198">
        <f ca="1">IFERROR(__xludf.DUMMYFUNCTION("IMPORTRANGE(""https://docs.google.com/spreadsheets/d/1SX6NBoVAgQJ6U1MVXOaj8PK2l7WJ3RER9xtqwdhxkhw/edit?usp=sharing"",""ตราด!J509"")"),0)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IFERROR(__xludf.DUMMYFUNCTION("IMPORTRANGE(""https://docs.google.com/spreadsheets/d/1SX6NBoVAgQJ6U1MVXOaj8PK2l7WJ3RER9xtqwdhxkhw/edit?usp=sharing"",""ตราด!I510"")"),0)</f>
        <v>0</v>
      </c>
      <c r="J615" s="198">
        <f ca="1">IFERROR(__xludf.DUMMYFUNCTION("IMPORTRANGE(""https://docs.google.com/spreadsheets/d/1SX6NBoVAgQJ6U1MVXOaj8PK2l7WJ3RER9xtqwdhxkhw/edit?usp=sharing"",""ตราด!J510"")"),0)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IFERROR(__xludf.DUMMYFUNCTION("IMPORTRANGE(""https://docs.google.com/spreadsheets/d/1SX6NBoVAgQJ6U1MVXOaj8PK2l7WJ3RER9xtqwdhxkhw/edit?usp=sharing"",""ตราด!I511"")"),0)</f>
        <v>0</v>
      </c>
      <c r="J616" s="198">
        <f ca="1">IFERROR(__xludf.DUMMYFUNCTION("IMPORTRANGE(""https://docs.google.com/spreadsheets/d/1SX6NBoVAgQJ6U1MVXOaj8PK2l7WJ3RER9xtqwdhxkhw/edit?usp=sharing"",""ตราด!J511"")"),0)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IFERROR(__xludf.DUMMYFUNCTION("IMPORTRANGE(""https://docs.google.com/spreadsheets/d/1SX6NBoVAgQJ6U1MVXOaj8PK2l7WJ3RER9xtqwdhxkhw/edit?usp=sharing"",""ตราด!I512"")"),0)</f>
        <v>0</v>
      </c>
      <c r="J617" s="188">
        <f ca="1">IFERROR(__xludf.DUMMYFUNCTION("IMPORTRANGE(""https://docs.google.com/spreadsheets/d/1SX6NBoVAgQJ6U1MVXOaj8PK2l7WJ3RER9xtqwdhxkhw/edit?usp=sharing"",""ตราด!J512"")"),0)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IFERROR(__xludf.DUMMYFUNCTION("IMPORTRANGE(""https://docs.google.com/spreadsheets/d/1SX6NBoVAgQJ6U1MVXOaj8PK2l7WJ3RER9xtqwdhxkhw/edit?usp=sharing"",""ตราด!I513"")"),0)</f>
        <v>0</v>
      </c>
      <c r="J618" s="189">
        <f ca="1">IFERROR(__xludf.DUMMYFUNCTION("IMPORTRANGE(""https://docs.google.com/spreadsheets/d/1SX6NBoVAgQJ6U1MVXOaj8PK2l7WJ3RER9xtqwdhxkhw/edit?usp=sharing"",""ตราด!J513"")"),0)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IFERROR(__xludf.DUMMYFUNCTION("IMPORTRANGE(""https://docs.google.com/spreadsheets/d/1SX6NBoVAgQJ6U1MVXOaj8PK2l7WJ3RER9xtqwdhxkhw/edit?usp=sharing"",""ตราด!I514"")"),0)</f>
        <v>0</v>
      </c>
      <c r="J619" s="189">
        <f ca="1">IFERROR(__xludf.DUMMYFUNCTION("IMPORTRANGE(""https://docs.google.com/spreadsheets/d/1SX6NBoVAgQJ6U1MVXOaj8PK2l7WJ3RER9xtqwdhxkhw/edit?usp=sharing"",""ตราด!J514"")"),0)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IFERROR(__xludf.DUMMYFUNCTION("IMPORTRANGE(""https://docs.google.com/spreadsheets/d/1SX6NBoVAgQJ6U1MVXOaj8PK2l7WJ3RER9xtqwdhxkhw/edit?usp=sharing"",""ตราด!I515"")"),0)</f>
        <v>0</v>
      </c>
      <c r="J620" s="203">
        <f ca="1">IFERROR(__xludf.DUMMYFUNCTION("IMPORTRANGE(""https://docs.google.com/spreadsheets/d/1SX6NBoVAgQJ6U1MVXOaj8PK2l7WJ3RER9xtqwdhxkhw/edit?usp=sharing"",""ตราด!J515"")"),0)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IFERROR(__xludf.DUMMYFUNCTION("IMPORTRANGE(""https://docs.google.com/spreadsheets/d/1SX6NBoVAgQJ6U1MVXOaj8PK2l7WJ3RER9xtqwdhxkhw/edit?usp=sharing"",""ตราด!I516"")"),0)</f>
        <v>0</v>
      </c>
      <c r="J621" s="203">
        <f ca="1">IFERROR(__xludf.DUMMYFUNCTION("IMPORTRANGE(""https://docs.google.com/spreadsheets/d/1SX6NBoVAgQJ6U1MVXOaj8PK2l7WJ3RER9xtqwdhxkhw/edit?usp=sharing"",""ตราด!J516"")"),0)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IFERROR(__xludf.DUMMYFUNCTION("IMPORTRANGE(""https://docs.google.com/spreadsheets/d/1SX6NBoVAgQJ6U1MVXOaj8PK2l7WJ3RER9xtqwdhxkhw/edit?usp=sharing"",""ตราด!I517"")"),0)</f>
        <v>0</v>
      </c>
      <c r="J622" s="189">
        <f ca="1">IFERROR(__xludf.DUMMYFUNCTION("IMPORTRANGE(""https://docs.google.com/spreadsheets/d/1SX6NBoVAgQJ6U1MVXOaj8PK2l7WJ3RER9xtqwdhxkhw/edit?usp=sharing"",""ตราด!J517"")"),0)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IFERROR(__xludf.DUMMYFUNCTION("IMPORTRANGE(""https://docs.google.com/spreadsheets/d/1SX6NBoVAgQJ6U1MVXOaj8PK2l7WJ3RER9xtqwdhxkhw/edit?usp=sharing"",""ตราด!I518"")"),0)</f>
        <v>0</v>
      </c>
      <c r="J623" s="189">
        <f ca="1">IFERROR(__xludf.DUMMYFUNCTION("IMPORTRANGE(""https://docs.google.com/spreadsheets/d/1SX6NBoVAgQJ6U1MVXOaj8PK2l7WJ3RER9xtqwdhxkhw/edit?usp=sharing"",""ตราด!J518"")"),0)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IFERROR(__xludf.DUMMYFUNCTION("IMPORTRANGE(""https://docs.google.com/spreadsheets/d/1SX6NBoVAgQJ6U1MVXOaj8PK2l7WJ3RER9xtqwdhxkhw/edit?usp=sharing"",""ตราด!I519"")"),0)</f>
        <v>0</v>
      </c>
      <c r="J624" s="188">
        <f ca="1">IFERROR(__xludf.DUMMYFUNCTION("IMPORTRANGE(""https://docs.google.com/spreadsheets/d/1SX6NBoVAgQJ6U1MVXOaj8PK2l7WJ3RER9xtqwdhxkhw/edit?usp=sharing"",""ตราด!J519"")"),0)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IFERROR(__xludf.DUMMYFUNCTION("IMPORTRANGE(""https://docs.google.com/spreadsheets/d/1SX6NBoVAgQJ6U1MVXOaj8PK2l7WJ3RER9xtqwdhxkhw/edit?usp=sharing"",""ตราด!I520"")"),0)</f>
        <v>0</v>
      </c>
      <c r="J625" s="189">
        <f ca="1">IFERROR(__xludf.DUMMYFUNCTION("IMPORTRANGE(""https://docs.google.com/spreadsheets/d/1SX6NBoVAgQJ6U1MVXOaj8PK2l7WJ3RER9xtqwdhxkhw/edit?usp=sharing"",""ตราด!J520"")"),0)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IFERROR(__xludf.DUMMYFUNCTION("IMPORTRANGE(""https://docs.google.com/spreadsheets/d/1SX6NBoVAgQJ6U1MVXOaj8PK2l7WJ3RER9xtqwdhxkhw/edit?usp=sharing"",""ตราด!I521"")"),0)</f>
        <v>0</v>
      </c>
      <c r="J626" s="189">
        <f ca="1">IFERROR(__xludf.DUMMYFUNCTION("IMPORTRANGE(""https://docs.google.com/spreadsheets/d/1SX6NBoVAgQJ6U1MVXOaj8PK2l7WJ3RER9xtqwdhxkhw/edit?usp=sharing"",""ตราด!J521"")"),0)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IFERROR(__xludf.DUMMYFUNCTION("IMPORTRANGE(""https://docs.google.com/spreadsheets/d/1SX6NBoVAgQJ6U1MVXOaj8PK2l7WJ3RER9xtqwdhxkhw/edit?usp=sharing"",""ตราด!I523"")"),2500000)</f>
        <v>2500000</v>
      </c>
      <c r="J628" s="341">
        <f ca="1">IFERROR(__xludf.DUMMYFUNCTION("IMPORTRANGE(""https://docs.google.com/spreadsheets/d/1SX6NBoVAgQJ6U1MVXOaj8PK2l7WJ3RER9xtqwdhxkhw/edit?usp=sharing"",""ตราด!J523"")"),369000)</f>
        <v>369000</v>
      </c>
      <c r="K628" s="342">
        <f t="shared" ref="K628:K635" ca="1" si="129">IF(I628&gt;0,J628*100/I628,0)</f>
        <v>14.76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IFERROR(__xludf.DUMMYFUNCTION("IMPORTRANGE(""https://docs.google.com/spreadsheets/d/1SX6NBoVAgQJ6U1MVXOaj8PK2l7WJ3RER9xtqwdhxkhw/edit?usp=sharing"",""ตราด!I524"")"),117)</f>
        <v>117</v>
      </c>
      <c r="J629" s="341">
        <f ca="1">IFERROR(__xludf.DUMMYFUNCTION("IMPORTRANGE(""https://docs.google.com/spreadsheets/d/1SX6NBoVAgQJ6U1MVXOaj8PK2l7WJ3RER9xtqwdhxkhw/edit?usp=sharing"",""ตราด!J524"")"),17)</f>
        <v>17</v>
      </c>
      <c r="K629" s="342">
        <f t="shared" ca="1" si="129"/>
        <v>14.52991452991453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IFERROR(__xludf.DUMMYFUNCTION("IMPORTRANGE(""https://docs.google.com/spreadsheets/d/1SX6NBoVAgQJ6U1MVXOaj8PK2l7WJ3RER9xtqwdhxkhw/edit?usp=sharing"",""ตราด!I525"")"),1746021.08)</f>
        <v>1746021.08</v>
      </c>
      <c r="J630" s="341">
        <f ca="1">IFERROR(__xludf.DUMMYFUNCTION("IMPORTRANGE(""https://docs.google.com/spreadsheets/d/1SX6NBoVAgQJ6U1MVXOaj8PK2l7WJ3RER9xtqwdhxkhw/edit?usp=sharing"",""ตราด!J525"")"),296068.4)</f>
        <v>296068.40000000002</v>
      </c>
      <c r="K630" s="342">
        <f t="shared" ca="1" si="129"/>
        <v>16.956748311423596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IFERROR(__xludf.DUMMYFUNCTION("IMPORTRANGE(""https://docs.google.com/spreadsheets/d/1SX6NBoVAgQJ6U1MVXOaj8PK2l7WJ3RER9xtqwdhxkhw/edit?usp=sharing"",""ตราด!I526"")"),45)</f>
        <v>45</v>
      </c>
      <c r="J631" s="341">
        <f ca="1">IFERROR(__xludf.DUMMYFUNCTION("IMPORTRANGE(""https://docs.google.com/spreadsheets/d/1SX6NBoVAgQJ6U1MVXOaj8PK2l7WJ3RER9xtqwdhxkhw/edit?usp=sharing"",""ตราด!J526"")"),26)</f>
        <v>26</v>
      </c>
      <c r="K631" s="342">
        <f t="shared" ca="1" si="129"/>
        <v>57.777777777777779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IFERROR(__xludf.DUMMYFUNCTION("IMPORTRANGE(""https://docs.google.com/spreadsheets/d/1SX6NBoVAgQJ6U1MVXOaj8PK2l7WJ3RER9xtqwdhxkhw/edit?usp=sharing"",""ตราด!I527"")"),0)</f>
        <v>0</v>
      </c>
      <c r="J632" s="341">
        <f ca="1">IFERROR(__xludf.DUMMYFUNCTION("IMPORTRANGE(""https://docs.google.com/spreadsheets/d/1SX6NBoVAgQJ6U1MVXOaj8PK2l7WJ3RER9xtqwdhxkhw/edit?usp=sharing"",""ตราด!J527"")"),0)</f>
        <v>0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IFERROR(__xludf.DUMMYFUNCTION("IMPORTRANGE(""https://docs.google.com/spreadsheets/d/1SX6NBoVAgQJ6U1MVXOaj8PK2l7WJ3RER9xtqwdhxkhw/edit?usp=sharing"",""ตราด!I528"")"),0)</f>
        <v>0</v>
      </c>
      <c r="J633" s="341">
        <f ca="1">IFERROR(__xludf.DUMMYFUNCTION("IMPORTRANGE(""https://docs.google.com/spreadsheets/d/1SX6NBoVAgQJ6U1MVXOaj8PK2l7WJ3RER9xtqwdhxkhw/edit?usp=sharing"",""ตราด!J528"")"),0)</f>
        <v>0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IFERROR(__xludf.DUMMYFUNCTION("IMPORTRANGE(""https://docs.google.com/spreadsheets/d/1SX6NBoVAgQJ6U1MVXOaj8PK2l7WJ3RER9xtqwdhxkhw/edit?usp=sharing"",""ตราด!I529"")"),2000000)</f>
        <v>2000000</v>
      </c>
      <c r="J634" s="341">
        <f ca="1">IFERROR(__xludf.DUMMYFUNCTION("IMPORTRANGE(""https://docs.google.com/spreadsheets/d/1SX6NBoVAgQJ6U1MVXOaj8PK2l7WJ3RER9xtqwdhxkhw/edit?usp=sharing"",""ตราด!J529"")"),120000)</f>
        <v>120000</v>
      </c>
      <c r="K634" s="342">
        <f t="shared" ca="1" si="129"/>
        <v>6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IFERROR(__xludf.DUMMYFUNCTION("IMPORTRANGE(""https://docs.google.com/spreadsheets/d/1SX6NBoVAgQJ6U1MVXOaj8PK2l7WJ3RER9xtqwdhxkhw/edit?usp=sharing"",""ตราด!I530"")"),117)</f>
        <v>117</v>
      </c>
      <c r="J635" s="504">
        <f ca="1">IFERROR(__xludf.DUMMYFUNCTION("IMPORTRANGE(""https://docs.google.com/spreadsheets/d/1SX6NBoVAgQJ6U1MVXOaj8PK2l7WJ3RER9xtqwdhxkhw/edit?usp=sharing"",""ตราด!J530"")"),4)</f>
        <v>4</v>
      </c>
      <c r="K635" s="486">
        <f t="shared" ca="1" si="129"/>
        <v>3.4188034188034186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G555" sqref="G555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250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3144690</v>
      </c>
      <c r="M8" s="23">
        <f t="shared" ca="1" si="0"/>
        <v>1786620.8599999999</v>
      </c>
      <c r="N8" s="23">
        <f t="shared" ca="1" si="0"/>
        <v>1161896.6000000001</v>
      </c>
      <c r="O8" s="22">
        <f t="shared" ref="O8:O16" ca="1" si="1">IF(L8&gt;0,N8*100/L8,0)</f>
        <v>36.947889935096946</v>
      </c>
      <c r="P8" s="22">
        <f t="shared" ref="P8:P16" ca="1" si="2">IF(M8&gt;0,N8*100/M8,0)</f>
        <v>65.033193444299101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3144690</v>
      </c>
      <c r="M10" s="30">
        <f t="shared" ca="1" si="4"/>
        <v>1786620.8599999999</v>
      </c>
      <c r="N10" s="30">
        <f t="shared" ca="1" si="4"/>
        <v>1161896.6000000001</v>
      </c>
      <c r="O10" s="29">
        <f t="shared" ca="1" si="1"/>
        <v>36.947889935096946</v>
      </c>
      <c r="P10" s="29">
        <f t="shared" ca="1" si="2"/>
        <v>65.033193444299101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3106890</v>
      </c>
      <c r="M12" s="38">
        <f t="shared" ca="1" si="6"/>
        <v>1748820.8599999999</v>
      </c>
      <c r="N12" s="38">
        <f t="shared" ca="1" si="6"/>
        <v>1124096.6000000001</v>
      </c>
      <c r="O12" s="38">
        <f t="shared" ca="1" si="1"/>
        <v>36.1807659749782</v>
      </c>
      <c r="P12" s="38">
        <f t="shared" ca="1" si="2"/>
        <v>64.277401174183169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1288990</v>
      </c>
      <c r="M14" s="38">
        <f t="shared" si="8"/>
        <v>0</v>
      </c>
      <c r="N14" s="38">
        <f t="shared" ca="1" si="8"/>
        <v>284730</v>
      </c>
      <c r="O14" s="38">
        <f t="shared" ca="1" si="1"/>
        <v>22.089387815266218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2357880</v>
      </c>
      <c r="M18" s="23">
        <f t="shared" ca="1" si="11"/>
        <v>1786620.8599999999</v>
      </c>
      <c r="N18" s="23">
        <f t="shared" ca="1" si="11"/>
        <v>877166.6</v>
      </c>
      <c r="O18" s="22">
        <f t="shared" ref="O18:O20" ca="1" si="12">IF(L18&gt;0,N18*100/L18,0)</f>
        <v>37.201494562912444</v>
      </c>
      <c r="P18" s="22">
        <f t="shared" ref="P18:P26" ca="1" si="13">IF(M18&gt;0,N18*100/M18,0)</f>
        <v>49.096404258931585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2357880</v>
      </c>
      <c r="M20" s="30">
        <f t="shared" ca="1" si="15"/>
        <v>1786620.8599999999</v>
      </c>
      <c r="N20" s="30">
        <f t="shared" ca="1" si="15"/>
        <v>877166.6</v>
      </c>
      <c r="O20" s="29">
        <f t="shared" ca="1" si="12"/>
        <v>37.201494562912444</v>
      </c>
      <c r="P20" s="29">
        <f t="shared" ca="1" si="13"/>
        <v>49.096404258931585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2320080</v>
      </c>
      <c r="M22" s="41">
        <f t="shared" ca="1" si="18"/>
        <v>1748820.8599999999</v>
      </c>
      <c r="N22" s="38">
        <f t="shared" ca="1" si="18"/>
        <v>839366.6</v>
      </c>
      <c r="O22" s="38">
        <f t="shared" ca="1" si="17"/>
        <v>36.178347298369019</v>
      </c>
      <c r="P22" s="38">
        <f t="shared" ca="1" si="13"/>
        <v>47.996145242686552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502180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786810</v>
      </c>
      <c r="M28" s="23">
        <f t="shared" si="23"/>
        <v>0</v>
      </c>
      <c r="N28" s="23">
        <f t="shared" ca="1" si="23"/>
        <v>284730</v>
      </c>
      <c r="O28" s="22">
        <f t="shared" ref="O28:O30" ca="1" si="24">IF(L28&gt;0,N28*100/L28,0)</f>
        <v>36.187897967743169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786810</v>
      </c>
      <c r="M30" s="30">
        <f t="shared" si="27"/>
        <v>0</v>
      </c>
      <c r="N30" s="30">
        <f t="shared" ca="1" si="27"/>
        <v>284730</v>
      </c>
      <c r="O30" s="29">
        <f t="shared" ca="1" si="24"/>
        <v>36.187897967743169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786810</v>
      </c>
      <c r="M32" s="38">
        <f t="shared" si="30"/>
        <v>0</v>
      </c>
      <c r="N32" s="38">
        <f t="shared" ca="1" si="30"/>
        <v>284730</v>
      </c>
      <c r="O32" s="38">
        <f t="shared" ca="1" si="29"/>
        <v>36.187897967743169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786810</v>
      </c>
      <c r="M34" s="38">
        <f t="shared" si="32"/>
        <v>0</v>
      </c>
      <c r="N34" s="38">
        <f t="shared" ca="1" si="32"/>
        <v>284730</v>
      </c>
      <c r="O34" s="38">
        <f t="shared" ca="1" si="29"/>
        <v>36.187897967743169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2357880</v>
      </c>
      <c r="M37" s="54">
        <f t="shared" ca="1" si="33"/>
        <v>1786620.8599999999</v>
      </c>
      <c r="N37" s="54">
        <f t="shared" ca="1" si="33"/>
        <v>877166.6</v>
      </c>
      <c r="O37" s="55">
        <f t="shared" ca="1" si="29"/>
        <v>37.201494562912444</v>
      </c>
      <c r="P37" s="55">
        <f t="shared" ca="1" si="25"/>
        <v>49.096404258931585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644100</v>
      </c>
      <c r="M41" s="78">
        <f t="shared" ca="1" si="34"/>
        <v>483100</v>
      </c>
      <c r="N41" s="78">
        <f t="shared" ca="1" si="34"/>
        <v>279511.34999999998</v>
      </c>
      <c r="O41" s="77">
        <f t="shared" ref="O41:O43" ca="1" si="35">IF(L41&gt;0,N41*100/L41,0)</f>
        <v>43.395645086166738</v>
      </c>
      <c r="P41" s="77">
        <f t="shared" ref="P41:P43" ca="1" si="36">IF(M41&gt;0,N41*100/M41,0)</f>
        <v>57.857865866280264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644100</v>
      </c>
      <c r="M43" s="78">
        <f t="shared" ca="1" si="38"/>
        <v>483100</v>
      </c>
      <c r="N43" s="78">
        <f t="shared" ca="1" si="38"/>
        <v>279511.34999999998</v>
      </c>
      <c r="O43" s="77">
        <f t="shared" ca="1" si="35"/>
        <v>43.395645086166738</v>
      </c>
      <c r="P43" s="77">
        <f t="shared" ca="1" si="36"/>
        <v>57.857865866280264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644100</v>
      </c>
      <c r="M45" s="49">
        <f ca="1">IFERROR(__xludf.DUMMYFUNCTION("IMPORTRANGE(""https://docs.google.com/spreadsheets/d/1Yj_ptqi66GCucihVvJfMjLAmec39IyEx_6qawtMGysU/edit?usp=sharing"",""สบก!Q65"")"),483100)</f>
        <v>483100</v>
      </c>
      <c r="N45" s="49">
        <f ca="1">IFERROR(__xludf.DUMMYFUNCTION("IMPORTRANGE(""https://docs.google.com/spreadsheets/d/1Yj_ptqi66GCucihVvJfMjLAmec39IyEx_6qawtMGysU/edit?usp=sharing"",""สบก!R65"")"),279511.35)</f>
        <v>279511.34999999998</v>
      </c>
      <c r="O45" s="38">
        <f ca="1">IF(L45&gt;0,N45*100/L45,0)</f>
        <v>43.395645086166738</v>
      </c>
      <c r="P45" s="38">
        <f ca="1">IF(M45&gt;0,N45*100/M45,0)</f>
        <v>57.857865866280264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IFERROR(__xludf.DUMMYFUNCTION("IMPORTRANGE(""https://docs.google.com/spreadsheets/d/1Yj_ptqi66GCucihVvJfMjLAmec39IyEx_6qawtMGysU/edit?usp=sharing"",""สบก!M65"")"),644100)</f>
        <v>644100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IFERROR(__xludf.DUMMYFUNCTION("IMPORTRANGE(""https://docs.google.com/spreadsheets/d/1Yj_ptqi66GCucihVvJfMjLAmec39IyEx_6qawtMGysU/edit?usp=sharing"",""สบก!N65"")"),0)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IFERROR(__xludf.DUMMYFUNCTION("IMPORTRANGE(""https://docs.google.com/spreadsheets/d/1Yj_ptqi66GCucihVvJfMjLAmec39IyEx_6qawtMGysU/edit?usp=sharing"",""สบก!O65"")"),0)</f>
        <v>0</v>
      </c>
      <c r="M49" s="49"/>
      <c r="N49" s="49">
        <f ca="1">IFERROR(__xludf.DUMMYFUNCTION("IMPORTRANGE(""https://docs.google.com/spreadsheets/d/1Yj_ptqi66GCucihVvJfMjLAmec39IyEx_6qawtMGysU/edit?usp=sharing"",""สบก!S65"")"),0)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339600</v>
      </c>
      <c r="M53" s="121">
        <f t="shared" ca="1" si="39"/>
        <v>276355.86</v>
      </c>
      <c r="N53" s="121">
        <f t="shared" ca="1" si="39"/>
        <v>129923</v>
      </c>
      <c r="O53" s="120">
        <f t="shared" ref="O53:O55" ca="1" si="40">IF(L53&gt;0,N53*100/L53,0)</f>
        <v>38.257656065959949</v>
      </c>
      <c r="P53" s="120">
        <f t="shared" ref="P53:P55" ca="1" si="41">IF(M53&gt;0,N53*100/M53,0)</f>
        <v>47.012934699484937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339600</v>
      </c>
      <c r="M55" s="121">
        <f t="shared" ca="1" si="43"/>
        <v>276355.86</v>
      </c>
      <c r="N55" s="121">
        <f t="shared" ca="1" si="43"/>
        <v>129923</v>
      </c>
      <c r="O55" s="120">
        <f t="shared" ca="1" si="40"/>
        <v>38.257656065959949</v>
      </c>
      <c r="P55" s="120">
        <f t="shared" ca="1" si="41"/>
        <v>47.012934699484937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339600</v>
      </c>
      <c r="M57" s="49">
        <f ca="1">IFERROR(__xludf.DUMMYFUNCTION("IMPORTRANGE(""https://docs.google.com/spreadsheets/d/1Yj_ptqi66GCucihVvJfMjLAmec39IyEx_6qawtMGysU/edit?usp=sharing"",""สบก!Z65"")"),276355.86)</f>
        <v>276355.86</v>
      </c>
      <c r="N57" s="49">
        <f ca="1">IFERROR(__xludf.DUMMYFUNCTION("IMPORTRANGE(""https://docs.google.com/spreadsheets/d/1Yj_ptqi66GCucihVvJfMjLAmec39IyEx_6qawtMGysU/edit?usp=sharing"",""สบก!AA65"")"),129923)</f>
        <v>129923</v>
      </c>
      <c r="O57" s="38">
        <f ca="1">IF(L57&gt;0,N57*100/L57,0)</f>
        <v>38.257656065959949</v>
      </c>
      <c r="P57" s="38">
        <f ca="1">IF(M57&gt;0,N57*100/M57,0)</f>
        <v>47.012934699484937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IFERROR(__xludf.DUMMYFUNCTION("IMPORTRANGE(""https://docs.google.com/spreadsheets/d/1Yj_ptqi66GCucihVvJfMjLAmec39IyEx_6qawtMGysU/edit?usp=sharing"",""สบก!V65"")"),339600)</f>
        <v>339600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IFERROR(__xludf.DUMMYFUNCTION("IMPORTRANGE(""https://docs.google.com/spreadsheets/d/1Yj_ptqi66GCucihVvJfMjLAmec39IyEx_6qawtMGysU/edit?usp=sharing"",""สบก!W65"")"),0)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IFERROR(__xludf.DUMMYFUNCTION("IMPORTRANGE(""https://docs.google.com/spreadsheets/d/1Yj_ptqi66GCucihVvJfMjLAmec39IyEx_6qawtMGysU/edit?usp=sharing"",""สบก!X65"")"),0)</f>
        <v>0</v>
      </c>
      <c r="M61" s="49"/>
      <c r="N61" s="49">
        <f ca="1">IFERROR(__xludf.DUMMYFUNCTION("IMPORTRANGE(""https://docs.google.com/spreadsheets/d/1Yj_ptqi66GCucihVvJfMjLAmec39IyEx_6qawtMGysU/edit?usp=sharing"",""สบก!AB65"")"),0)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IFERROR(__xludf.DUMMYFUNCTION("IMPORTRANGE(""https://docs.google.com/spreadsheets/d/1SX6NBoVAgQJ6U1MVXOaj8PK2l7WJ3RER9xtqwdhxkhw/edit?usp=sharing"",""นครนายก!I9"")"),0)</f>
        <v>0</v>
      </c>
      <c r="J64" s="142">
        <f ca="1">IFERROR(__xludf.DUMMYFUNCTION("IMPORTRANGE(""https://docs.google.com/spreadsheets/d/1SX6NBoVAgQJ6U1MVXOaj8PK2l7WJ3RER9xtqwdhxkhw/edit?usp=sharing"",""นครนายก!J9"")"),0)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IFERROR(__xludf.DUMMYFUNCTION("IMPORTRANGE(""https://docs.google.com/spreadsheets/d/1SX6NBoVAgQJ6U1MVXOaj8PK2l7WJ3RER9xtqwdhxkhw/edit?usp=sharing"",""นครนายก!I10"")"),0)</f>
        <v>0</v>
      </c>
      <c r="J65" s="142">
        <f ca="1">IFERROR(__xludf.DUMMYFUNCTION("IMPORTRANGE(""https://docs.google.com/spreadsheets/d/1SX6NBoVAgQJ6U1MVXOaj8PK2l7WJ3RER9xtqwdhxkhw/edit?usp=sharing"",""นครนายก!J10"")"),0)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IFERROR(__xludf.DUMMYFUNCTION("IMPORTRANGE(""https://docs.google.com/spreadsheets/d/1Yj_ptqi66GCucihVvJfMjLAmec39IyEx_6qawtMGysU/edit?usp=sharing"",""สบก!AI65"")"),0)</f>
        <v>0</v>
      </c>
      <c r="N70" s="169">
        <f ca="1">IFERROR(__xludf.DUMMYFUNCTION("IMPORTRANGE(""https://docs.google.com/spreadsheets/d/1Yj_ptqi66GCucihVvJfMjLAmec39IyEx_6qawtMGysU/edit?usp=sharing"",""สบก!AJ65"")"),0)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IFERROR(__xludf.DUMMYFUNCTION("IMPORTRANGE(""https://docs.google.com/spreadsheets/d/1Yj_ptqi66GCucihVvJfMjLAmec39IyEx_6qawtMGysU/edit?usp=sharing"",""สบก!AE65"")"),0)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IFERROR(__xludf.DUMMYFUNCTION("IMPORTRANGE(""https://docs.google.com/spreadsheets/d/1Yj_ptqi66GCucihVvJfMjLAmec39IyEx_6qawtMGysU/edit?usp=sharing"",""สบก!AF65"")"),0)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IFERROR(__xludf.DUMMYFUNCTION("IMPORTRANGE(""https://docs.google.com/spreadsheets/d/1Yj_ptqi66GCucihVvJfMjLAmec39IyEx_6qawtMGysU/edit?usp=sharing"",""สบก!AG65"")"),0)</f>
        <v>0</v>
      </c>
      <c r="M74" s="49"/>
      <c r="N74" s="49">
        <f ca="1">IFERROR(__xludf.DUMMYFUNCTION("IMPORTRANGE(""https://docs.google.com/spreadsheets/d/1Yj_ptqi66GCucihVvJfMjLAmec39IyEx_6qawtMGysU/edit?usp=sharing"",""สบก!AK65"")"),0)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IFERROR(__xludf.DUMMYFUNCTION("IMPORTRANGE(""https://docs.google.com/spreadsheets/d/1SX6NBoVAgQJ6U1MVXOaj8PK2l7WJ3RER9xtqwdhxkhw/edit?usp=sharing"",""นครนายก!J16"")"),0)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IFERROR(__xludf.DUMMYFUNCTION("IMPORTRANGE(""https://docs.google.com/spreadsheets/d/1SX6NBoVAgQJ6U1MVXOaj8PK2l7WJ3RER9xtqwdhxkhw/edit?usp=sharing"",""นครนายก!J17"")"),0)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IFERROR(__xludf.DUMMYFUNCTION("IMPORTRANGE(""https://docs.google.com/spreadsheets/d/1SX6NBoVAgQJ6U1MVXOaj8PK2l7WJ3RER9xtqwdhxkhw/edit?usp=sharing"",""นครนายก!J18"")"),0)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IFERROR(__xludf.DUMMYFUNCTION("IMPORTRANGE(""https://docs.google.com/spreadsheets/d/1SX6NBoVAgQJ6U1MVXOaj8PK2l7WJ3RER9xtqwdhxkhw/edit?usp=sharing"",""นครนายก!J19"")"),0)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IFERROR(__xludf.DUMMYFUNCTION("IMPORTRANGE(""https://docs.google.com/spreadsheets/d/1SX6NBoVAgQJ6U1MVXOaj8PK2l7WJ3RER9xtqwdhxkhw/edit?usp=sharing"",""นครนายก!I20"")"),0)</f>
        <v>0</v>
      </c>
      <c r="J80" s="201">
        <f ca="1">IFERROR(__xludf.DUMMYFUNCTION("IMPORTRANGE(""https://docs.google.com/spreadsheets/d/1SX6NBoVAgQJ6U1MVXOaj8PK2l7WJ3RER9xtqwdhxkhw/edit?usp=sharing"",""นครนายก!J20"")"),0)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IFERROR(__xludf.DUMMYFUNCTION("IMPORTRANGE(""https://docs.google.com/spreadsheets/d/1SX6NBoVAgQJ6U1MVXOaj8PK2l7WJ3RER9xtqwdhxkhw/edit?usp=sharing"",""นครนายก!I21"")"),0)</f>
        <v>0</v>
      </c>
      <c r="J81" s="201">
        <f ca="1">IFERROR(__xludf.DUMMYFUNCTION("IMPORTRANGE(""https://docs.google.com/spreadsheets/d/1SX6NBoVAgQJ6U1MVXOaj8PK2l7WJ3RER9xtqwdhxkhw/edit?usp=sharing"",""นครนายก!J21"")"),0)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IFERROR(__xludf.DUMMYFUNCTION("IMPORTRANGE(""https://docs.google.com/spreadsheets/d/1SX6NBoVAgQJ6U1MVXOaj8PK2l7WJ3RER9xtqwdhxkhw/edit?usp=sharing"",""นครนายก!I22"")"),0)</f>
        <v>0</v>
      </c>
      <c r="J82" s="204">
        <f ca="1">IFERROR(__xludf.DUMMYFUNCTION("IMPORTRANGE(""https://docs.google.com/spreadsheets/d/1SX6NBoVAgQJ6U1MVXOaj8PK2l7WJ3RER9xtqwdhxkhw/edit?usp=sharing"",""นครนายก!J22"")"),0)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IFERROR(__xludf.DUMMYFUNCTION("IMPORTRANGE(""https://docs.google.com/spreadsheets/d/1SX6NBoVAgQJ6U1MVXOaj8PK2l7WJ3RER9xtqwdhxkhw/edit?usp=sharing"",""นครนายก!I23"")"),0)</f>
        <v>0</v>
      </c>
      <c r="J83" s="204">
        <f ca="1">IFERROR(__xludf.DUMMYFUNCTION("IMPORTRANGE(""https://docs.google.com/spreadsheets/d/1SX6NBoVAgQJ6U1MVXOaj8PK2l7WJ3RER9xtqwdhxkhw/edit?usp=sharing"",""นครนายก!J23"")"),0)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IFERROR(__xludf.DUMMYFUNCTION("IMPORTRANGE(""https://docs.google.com/spreadsheets/d/1SX6NBoVAgQJ6U1MVXOaj8PK2l7WJ3RER9xtqwdhxkhw/edit?usp=sharing"",""นครนายก!I24"")"),0)</f>
        <v>0</v>
      </c>
      <c r="J84" s="189">
        <f ca="1">IFERROR(__xludf.DUMMYFUNCTION("IMPORTRANGE(""https://docs.google.com/spreadsheets/d/1SX6NBoVAgQJ6U1MVXOaj8PK2l7WJ3RER9xtqwdhxkhw/edit?usp=sharing"",""นครนายก!J24"")"),0)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IFERROR(__xludf.DUMMYFUNCTION("IMPORTRANGE(""https://docs.google.com/spreadsheets/d/1SX6NBoVAgQJ6U1MVXOaj8PK2l7WJ3RER9xtqwdhxkhw/edit?usp=sharing"",""นครนายก!I25"")"),0)</f>
        <v>0</v>
      </c>
      <c r="J85" s="189">
        <f ca="1">IFERROR(__xludf.DUMMYFUNCTION("IMPORTRANGE(""https://docs.google.com/spreadsheets/d/1SX6NBoVAgQJ6U1MVXOaj8PK2l7WJ3RER9xtqwdhxkhw/edit?usp=sharing"",""นครนายก!J25"")"),0)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IFERROR(__xludf.DUMMYFUNCTION("IMPORTRANGE(""https://docs.google.com/spreadsheets/d/1SX6NBoVAgQJ6U1MVXOaj8PK2l7WJ3RER9xtqwdhxkhw/edit?usp=sharing"",""นครนายก!I26"")"),0)</f>
        <v>0</v>
      </c>
      <c r="J86" s="204">
        <f ca="1">IFERROR(__xludf.DUMMYFUNCTION("IMPORTRANGE(""https://docs.google.com/spreadsheets/d/1SX6NBoVAgQJ6U1MVXOaj8PK2l7WJ3RER9xtqwdhxkhw/edit?usp=sharing"",""นครนายก!J26"")"),0)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IFERROR(__xludf.DUMMYFUNCTION("IMPORTRANGE(""https://docs.google.com/spreadsheets/d/1SX6NBoVAgQJ6U1MVXOaj8PK2l7WJ3RER9xtqwdhxkhw/edit?usp=sharing"",""นครนายก!I27"")"),0)</f>
        <v>0</v>
      </c>
      <c r="J87" s="204">
        <f ca="1">IFERROR(__xludf.DUMMYFUNCTION("IMPORTRANGE(""https://docs.google.com/spreadsheets/d/1SX6NBoVAgQJ6U1MVXOaj8PK2l7WJ3RER9xtqwdhxkhw/edit?usp=sharing"",""นครนายก!J27"")"),0)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IFERROR(__xludf.DUMMYFUNCTION("IMPORTRANGE(""https://docs.google.com/spreadsheets/d/1SX6NBoVAgQJ6U1MVXOaj8PK2l7WJ3RER9xtqwdhxkhw/edit?usp=sharing"",""นครนายก!I28"")"),0)</f>
        <v>0</v>
      </c>
      <c r="J88" s="204">
        <f ca="1">IFERROR(__xludf.DUMMYFUNCTION("IMPORTRANGE(""https://docs.google.com/spreadsheets/d/1SX6NBoVAgQJ6U1MVXOaj8PK2l7WJ3RER9xtqwdhxkhw/edit?usp=sharing"",""นครนายก!J28"")"),0)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IFERROR(__xludf.DUMMYFUNCTION("IMPORTRANGE(""https://docs.google.com/spreadsheets/d/1SX6NBoVAgQJ6U1MVXOaj8PK2l7WJ3RER9xtqwdhxkhw/edit?usp=sharing"",""นครนายก!J29"")"),0)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IFERROR(__xludf.DUMMYFUNCTION("IMPORTRANGE(""https://docs.google.com/spreadsheets/d/1SX6NBoVAgQJ6U1MVXOaj8PK2l7WJ3RER9xtqwdhxkhw/edit?usp=sharing"",""นครนายก!J30"")"),0)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IFERROR(__xludf.DUMMYFUNCTION("IMPORTRANGE(""https://docs.google.com/spreadsheets/d/1SX6NBoVAgQJ6U1MVXOaj8PK2l7WJ3RER9xtqwdhxkhw/edit?usp=sharing"",""นครนายก!I32"")"),0)</f>
        <v>0</v>
      </c>
      <c r="J92" s="142">
        <f ca="1">IFERROR(__xludf.DUMMYFUNCTION("IMPORTRANGE(""https://docs.google.com/spreadsheets/d/1SX6NBoVAgQJ6U1MVXOaj8PK2l7WJ3RER9xtqwdhxkhw/edit?usp=sharing"",""นครนายก!J32"")"),0)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IFERROR(__xludf.DUMMYFUNCTION("IMPORTRANGE(""https://docs.google.com/spreadsheets/d/1SX6NBoVAgQJ6U1MVXOaj8PK2l7WJ3RER9xtqwdhxkhw/edit?usp=sharing"",""นครนายก!I33"")"),0)</f>
        <v>0</v>
      </c>
      <c r="J93" s="142">
        <f ca="1">IFERROR(__xludf.DUMMYFUNCTION("IMPORTRANGE(""https://docs.google.com/spreadsheets/d/1SX6NBoVAgQJ6U1MVXOaj8PK2l7WJ3RER9xtqwdhxkhw/edit?usp=sharing"",""นครนายก!J33"")"),0)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IFERROR(__xludf.DUMMYFUNCTION("IMPORTRANGE(""https://docs.google.com/spreadsheets/d/1Yj_ptqi66GCucihVvJfMjLAmec39IyEx_6qawtMGysU/edit?usp=sharing"",""สบก!AR65"")"),0)</f>
        <v>0</v>
      </c>
      <c r="N98" s="169">
        <f ca="1">IFERROR(__xludf.DUMMYFUNCTION("IMPORTRANGE(""https://docs.google.com/spreadsheets/d/1Yj_ptqi66GCucihVvJfMjLAmec39IyEx_6qawtMGysU/edit?usp=sharing"",""สบก!AS65"")"),0)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IFERROR(__xludf.DUMMYFUNCTION("IMPORTRANGE(""https://docs.google.com/spreadsheets/d/1Yj_ptqi66GCucihVvJfMjLAmec39IyEx_6qawtMGysU/edit?usp=sharing"",""สบก!AN65"")"),0)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IFERROR(__xludf.DUMMYFUNCTION("IMPORTRANGE(""https://docs.google.com/spreadsheets/d/1Yj_ptqi66GCucihVvJfMjLAmec39IyEx_6qawtMGysU/edit?usp=sharing"",""สบก!AO65"")"),0)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IFERROR(__xludf.DUMMYFUNCTION("IMPORTRANGE(""https://docs.google.com/spreadsheets/d/1Yj_ptqi66GCucihVvJfMjLAmec39IyEx_6qawtMGysU/edit?usp=sharing"",""สบก!AP65"")"),0)</f>
        <v>0</v>
      </c>
      <c r="M102" s="49"/>
      <c r="N102" s="49">
        <f ca="1">IFERROR(__xludf.DUMMYFUNCTION("IMPORTRANGE(""https://docs.google.com/spreadsheets/d/1Yj_ptqi66GCucihVvJfMjLAmec39IyEx_6qawtMGysU/edit?usp=sharing"",""สบก!AT65"")"),0)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IFERROR(__xludf.DUMMYFUNCTION("IMPORTRANGE(""https://docs.google.com/spreadsheets/d/1SX6NBoVAgQJ6U1MVXOaj8PK2l7WJ3RER9xtqwdhxkhw/edit?usp=sharing"",""นครนายก!J39"")"),0)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IFERROR(__xludf.DUMMYFUNCTION("IMPORTRANGE(""https://docs.google.com/spreadsheets/d/1SX6NBoVAgQJ6U1MVXOaj8PK2l7WJ3RER9xtqwdhxkhw/edit?usp=sharing"",""นครนายก!J40"")"),0)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IFERROR(__xludf.DUMMYFUNCTION("IMPORTRANGE(""https://docs.google.com/spreadsheets/d/1SX6NBoVAgQJ6U1MVXOaj8PK2l7WJ3RER9xtqwdhxkhw/edit?usp=sharing"",""นครนายก!J41"")"),0)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IFERROR(__xludf.DUMMYFUNCTION("IMPORTRANGE(""https://docs.google.com/spreadsheets/d/1SX6NBoVAgQJ6U1MVXOaj8PK2l7WJ3RER9xtqwdhxkhw/edit?usp=sharing"",""นครนายก!J42"")"),0)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IFERROR(__xludf.DUMMYFUNCTION("IMPORTRANGE(""https://docs.google.com/spreadsheets/d/1SX6NBoVAgQJ6U1MVXOaj8PK2l7WJ3RER9xtqwdhxkhw/edit?usp=sharing"",""นครนายก!I43"")"),0)</f>
        <v>0</v>
      </c>
      <c r="J108" s="204">
        <f ca="1">IFERROR(__xludf.DUMMYFUNCTION("IMPORTRANGE(""https://docs.google.com/spreadsheets/d/1SX6NBoVAgQJ6U1MVXOaj8PK2l7WJ3RER9xtqwdhxkhw/edit?usp=sharing"",""นครนายก!J43"")"),0)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IFERROR(__xludf.DUMMYFUNCTION("IMPORTRANGE(""https://docs.google.com/spreadsheets/d/1SX6NBoVAgQJ6U1MVXOaj8PK2l7WJ3RER9xtqwdhxkhw/edit?usp=sharing"",""นครนายก!I44"")"),0)</f>
        <v>0</v>
      </c>
      <c r="J109" s="204">
        <f ca="1">IFERROR(__xludf.DUMMYFUNCTION("IMPORTRANGE(""https://docs.google.com/spreadsheets/d/1SX6NBoVAgQJ6U1MVXOaj8PK2l7WJ3RER9xtqwdhxkhw/edit?usp=sharing"",""นครนายก!J44"")"),0)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IFERROR(__xludf.DUMMYFUNCTION("IMPORTRANGE(""https://docs.google.com/spreadsheets/d/1SX6NBoVAgQJ6U1MVXOaj8PK2l7WJ3RER9xtqwdhxkhw/edit?usp=sharing"",""นครนายก!I45"")"),0)</f>
        <v>0</v>
      </c>
      <c r="J110" s="204">
        <f ca="1">IFERROR(__xludf.DUMMYFUNCTION("IMPORTRANGE(""https://docs.google.com/spreadsheets/d/1SX6NBoVAgQJ6U1MVXOaj8PK2l7WJ3RER9xtqwdhxkhw/edit?usp=sharing"",""นครนายก!J45"")"),0)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IFERROR(__xludf.DUMMYFUNCTION("IMPORTRANGE(""https://docs.google.com/spreadsheets/d/1SX6NBoVAgQJ6U1MVXOaj8PK2l7WJ3RER9xtqwdhxkhw/edit?usp=sharing"",""นครนายก!I46"")"),0)</f>
        <v>0</v>
      </c>
      <c r="J111" s="204">
        <f ca="1">IFERROR(__xludf.DUMMYFUNCTION("IMPORTRANGE(""https://docs.google.com/spreadsheets/d/1SX6NBoVAgQJ6U1MVXOaj8PK2l7WJ3RER9xtqwdhxkhw/edit?usp=sharing"",""นครนายก!J46"")"),0)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IFERROR(__xludf.DUMMYFUNCTION("IMPORTRANGE(""https://docs.google.com/spreadsheets/d/1SX6NBoVAgQJ6U1MVXOaj8PK2l7WJ3RER9xtqwdhxkhw/edit?usp=sharing"",""นครนายก!I47"")"),0)</f>
        <v>0</v>
      </c>
      <c r="J112" s="204">
        <f ca="1">IFERROR(__xludf.DUMMYFUNCTION("IMPORTRANGE(""https://docs.google.com/spreadsheets/d/1SX6NBoVAgQJ6U1MVXOaj8PK2l7WJ3RER9xtqwdhxkhw/edit?usp=sharing"",""นครนายก!J47"")"),0)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IFERROR(__xludf.DUMMYFUNCTION("IMPORTRANGE(""https://docs.google.com/spreadsheets/d/1SX6NBoVAgQJ6U1MVXOaj8PK2l7WJ3RER9xtqwdhxkhw/edit?usp=sharing"",""นครนายก!I48"")"),0)</f>
        <v>0</v>
      </c>
      <c r="J113" s="204">
        <f ca="1">IFERROR(__xludf.DUMMYFUNCTION("IMPORTRANGE(""https://docs.google.com/spreadsheets/d/1SX6NBoVAgQJ6U1MVXOaj8PK2l7WJ3RER9xtqwdhxkhw/edit?usp=sharing"",""นครนายก!J48"")"),0)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IFERROR(__xludf.DUMMYFUNCTION("IMPORTRANGE(""https://docs.google.com/spreadsheets/d/1SX6NBoVAgQJ6U1MVXOaj8PK2l7WJ3RER9xtqwdhxkhw/edit?usp=sharing"",""นครนายก!J49"")"),0)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IFERROR(__xludf.DUMMYFUNCTION("IMPORTRANGE(""https://docs.google.com/spreadsheets/d/1SX6NBoVAgQJ6U1MVXOaj8PK2l7WJ3RER9xtqwdhxkhw/edit?usp=sharing"",""นครนายก!J50"")"),0)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IFERROR(__xludf.DUMMYFUNCTION("IMPORTRANGE(""https://docs.google.com/spreadsheets/d/1SX6NBoVAgQJ6U1MVXOaj8PK2l7WJ3RER9xtqwdhxkhw/edit?usp=sharing"",""นครนายก!I52"")"),0)</f>
        <v>0</v>
      </c>
      <c r="J117" s="142">
        <f ca="1">IFERROR(__xludf.DUMMYFUNCTION("IMPORTRANGE(""https://docs.google.com/spreadsheets/d/1SX6NBoVAgQJ6U1MVXOaj8PK2l7WJ3RER9xtqwdhxkhw/edit?usp=sharing"",""นครนายก!J52"")"),0)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IFERROR(__xludf.DUMMYFUNCTION("IMPORTRANGE(""https://docs.google.com/spreadsheets/d/1Yj_ptqi66GCucihVvJfMjLAmec39IyEx_6qawtMGysU/edit?usp=sharing"",""สบก!BA65"")"),0)</f>
        <v>0</v>
      </c>
      <c r="N122" s="169">
        <f ca="1">IFERROR(__xludf.DUMMYFUNCTION("IMPORTRANGE(""https://docs.google.com/spreadsheets/d/1Yj_ptqi66GCucihVvJfMjLAmec39IyEx_6qawtMGysU/edit?usp=sharing"",""สบก!BB65"")"),0)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IFERROR(__xludf.DUMMYFUNCTION("IMPORTRANGE(""https://docs.google.com/spreadsheets/d/1Yj_ptqi66GCucihVvJfMjLAmec39IyEx_6qawtMGysU/edit?usp=sharing"",""สบก!AW65"")"),0)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IFERROR(__xludf.DUMMYFUNCTION("IMPORTRANGE(""https://docs.google.com/spreadsheets/d/1Yj_ptqi66GCucihVvJfMjLAmec39IyEx_6qawtMGysU/edit?usp=sharing"",""สบก!AX65"")"),0)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IFERROR(__xludf.DUMMYFUNCTION("IMPORTRANGE(""https://docs.google.com/spreadsheets/d/1Yj_ptqi66GCucihVvJfMjLAmec39IyEx_6qawtMGysU/edit?usp=sharing"",""สบก!AY65"")"),0)</f>
        <v>0</v>
      </c>
      <c r="M126" s="49"/>
      <c r="N126" s="49">
        <f ca="1">IFERROR(__xludf.DUMMYFUNCTION("IMPORTRANGE(""https://docs.google.com/spreadsheets/d/1Yj_ptqi66GCucihVvJfMjLAmec39IyEx_6qawtMGysU/edit?usp=sharing"",""สบก!BC65"")"),0)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251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IFERROR(__xludf.DUMMYFUNCTION("IMPORTRANGE(""https://docs.google.com/spreadsheets/d/1SX6NBoVAgQJ6U1MVXOaj8PK2l7WJ3RER9xtqwdhxkhw/edit?usp=sharing"",""นครนายก!J58"")"),0)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IFERROR(__xludf.DUMMYFUNCTION("IMPORTRANGE(""https://docs.google.com/spreadsheets/d/1SX6NBoVAgQJ6U1MVXOaj8PK2l7WJ3RER9xtqwdhxkhw/edit?usp=sharing"",""นครนายก!J59"")"),0)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IFERROR(__xludf.DUMMYFUNCTION("IMPORTRANGE(""https://docs.google.com/spreadsheets/d/1SX6NBoVAgQJ6U1MVXOaj8PK2l7WJ3RER9xtqwdhxkhw/edit?usp=sharing"",""นครนายก!J60"")"),0)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IFERROR(__xludf.DUMMYFUNCTION("IMPORTRANGE(""https://docs.google.com/spreadsheets/d/1SX6NBoVAgQJ6U1MVXOaj8PK2l7WJ3RER9xtqwdhxkhw/edit?usp=sharing"",""นครนายก!J61"")"),0)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IFERROR(__xludf.DUMMYFUNCTION("IMPORTRANGE(""https://docs.google.com/spreadsheets/d/1SX6NBoVAgQJ6U1MVXOaj8PK2l7WJ3RER9xtqwdhxkhw/edit?usp=sharing"",""นครนายก!I62"")"),0)</f>
        <v>0</v>
      </c>
      <c r="J132" s="204">
        <f ca="1">IFERROR(__xludf.DUMMYFUNCTION("IMPORTRANGE(""https://docs.google.com/spreadsheets/d/1SX6NBoVAgQJ6U1MVXOaj8PK2l7WJ3RER9xtqwdhxkhw/edit?usp=sharing"",""นครนายก!J62"")"),0)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IFERROR(__xludf.DUMMYFUNCTION("IMPORTRANGE(""https://docs.google.com/spreadsheets/d/1SX6NBoVAgQJ6U1MVXOaj8PK2l7WJ3RER9xtqwdhxkhw/edit?usp=sharing"",""นครนายก!I63"")"),0)</f>
        <v>0</v>
      </c>
      <c r="J133" s="204">
        <f ca="1">IFERROR(__xludf.DUMMYFUNCTION("IMPORTRANGE(""https://docs.google.com/spreadsheets/d/1SX6NBoVAgQJ6U1MVXOaj8PK2l7WJ3RER9xtqwdhxkhw/edit?usp=sharing"",""นครนายก!J63"")"),0)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IFERROR(__xludf.DUMMYFUNCTION("IMPORTRANGE(""https://docs.google.com/spreadsheets/d/1SX6NBoVAgQJ6U1MVXOaj8PK2l7WJ3RER9xtqwdhxkhw/edit?usp=sharing"",""นครนายก!J64"")"),0)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IFERROR(__xludf.DUMMYFUNCTION("IMPORTRANGE(""https://docs.google.com/spreadsheets/d/1SX6NBoVAgQJ6U1MVXOaj8PK2l7WJ3RER9xtqwdhxkhw/edit?usp=sharing"",""นครนายก!J65"")"),0)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IFERROR(__xludf.DUMMYFUNCTION("IMPORTRANGE(""https://docs.google.com/spreadsheets/d/1SX6NBoVAgQJ6U1MVXOaj8PK2l7WJ3RER9xtqwdhxkhw/edit?usp=sharing"",""นครนายก!I68"")"),20)</f>
        <v>20</v>
      </c>
      <c r="J138" s="267">
        <f ca="1">IFERROR(__xludf.DUMMYFUNCTION("IMPORTRANGE(""https://docs.google.com/spreadsheets/d/1SX6NBoVAgQJ6U1MVXOaj8PK2l7WJ3RER9xtqwdhxkhw/edit?usp=sharing"",""นครนายก!J68"")"),20)</f>
        <v>20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569800</v>
      </c>
      <c r="M140" s="152">
        <f t="shared" ca="1" si="64"/>
        <v>436125</v>
      </c>
      <c r="N140" s="152">
        <f t="shared" ca="1" si="64"/>
        <v>150496.25</v>
      </c>
      <c r="O140" s="151">
        <f t="shared" ref="O140:O142" ca="1" si="65">IF(L140&gt;0,N140*100/L140,0)</f>
        <v>26.412118287118286</v>
      </c>
      <c r="P140" s="151">
        <f t="shared" ref="P140:P142" ca="1" si="66">IF(M140&gt;0,N140*100/M140,0)</f>
        <v>34.507595299512751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569800</v>
      </c>
      <c r="M142" s="157">
        <f t="shared" ca="1" si="68"/>
        <v>436125</v>
      </c>
      <c r="N142" s="157">
        <f t="shared" ca="1" si="68"/>
        <v>150496.25</v>
      </c>
      <c r="O142" s="156">
        <f t="shared" ca="1" si="65"/>
        <v>26.412118287118286</v>
      </c>
      <c r="P142" s="156">
        <f t="shared" ca="1" si="66"/>
        <v>34.507595299512751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569800</v>
      </c>
      <c r="M144" s="168">
        <f ca="1">IFERROR(__xludf.DUMMYFUNCTION("IMPORTRANGE(""https://docs.google.com/spreadsheets/d/1Yj_ptqi66GCucihVvJfMjLAmec39IyEx_6qawtMGysU/edit?usp=sharing"",""สบก!BJ65"")"),436125)</f>
        <v>436125</v>
      </c>
      <c r="N144" s="169">
        <f ca="1">IFERROR(__xludf.DUMMYFUNCTION("IMPORTRANGE(""https://docs.google.com/spreadsheets/d/1Yj_ptqi66GCucihVvJfMjLAmec39IyEx_6qawtMGysU/edit?usp=sharing"",""สบก!BK65"")"),150496.25)</f>
        <v>150496.25</v>
      </c>
      <c r="O144" s="169">
        <f ca="1">IF(L144&gt;0,N144*100/L144,0)</f>
        <v>26.412118287118286</v>
      </c>
      <c r="P144" s="169">
        <f ca="1">IF(M144&gt;0,N144*100/M144,0)</f>
        <v>34.507595299512751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IFERROR(__xludf.DUMMYFUNCTION("IMPORTRANGE(""https://docs.google.com/spreadsheets/d/1Yj_ptqi66GCucihVvJfMjLAmec39IyEx_6qawtMGysU/edit?usp=sharing"",""สบก!BF65"")"),305000)</f>
        <v>305000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IFERROR(__xludf.DUMMYFUNCTION("IMPORTRANGE(""https://docs.google.com/spreadsheets/d/1Yj_ptqi66GCucihVvJfMjLAmec39IyEx_6qawtMGysU/edit?usp=sharing"",""สบก!BG65"")"),264800)</f>
        <v>264800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IFERROR(__xludf.DUMMYFUNCTION("IMPORTRANGE(""https://docs.google.com/spreadsheets/d/1Yj_ptqi66GCucihVvJfMjLAmec39IyEx_6qawtMGysU/edit?usp=sharing"",""สบก!BH65"")"),0)</f>
        <v>0</v>
      </c>
      <c r="M148" s="49"/>
      <c r="N148" s="49">
        <f ca="1">IFERROR(__xludf.DUMMYFUNCTION("IMPORTRANGE(""https://docs.google.com/spreadsheets/d/1Yj_ptqi66GCucihVvJfMjLAmec39IyEx_6qawtMGysU/edit?usp=sharing"",""สบก!BL65"")"),0)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IFERROR(__xludf.DUMMYFUNCTION("IMPORTRANGE(""https://docs.google.com/spreadsheets/d/1SX6NBoVAgQJ6U1MVXOaj8PK2l7WJ3RER9xtqwdhxkhw/edit?usp=sharing"",""นครนายก!I74"")"),4)</f>
        <v>4</v>
      </c>
      <c r="J149" s="275">
        <f ca="1">IFERROR(__xludf.DUMMYFUNCTION("IMPORTRANGE(""https://docs.google.com/spreadsheets/d/1SX6NBoVAgQJ6U1MVXOaj8PK2l7WJ3RER9xtqwdhxkhw/edit?usp=sharing"",""นครนายก!J74"")"),1)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IFERROR(__xludf.DUMMYFUNCTION("IMPORTRANGE(""https://docs.google.com/spreadsheets/d/1SX6NBoVAgQJ6U1MVXOaj8PK2l7WJ3RER9xtqwdhxkhw/edit?usp=sharing"",""นครนายก!J79"")"),0)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IFERROR(__xludf.DUMMYFUNCTION("IMPORTRANGE(""https://docs.google.com/spreadsheets/d/1SX6NBoVAgQJ6U1MVXOaj8PK2l7WJ3RER9xtqwdhxkhw/edit?usp=sharing"",""นครนายก!J80"")"),1)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IFERROR(__xludf.DUMMYFUNCTION("IMPORTRANGE(""https://docs.google.com/spreadsheets/d/1SX6NBoVAgQJ6U1MVXOaj8PK2l7WJ3RER9xtqwdhxkhw/edit?usp=sharing"",""นครนายก!J81"")"),1)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IFERROR(__xludf.DUMMYFUNCTION("IMPORTRANGE(""https://docs.google.com/spreadsheets/d/1SX6NBoVAgQJ6U1MVXOaj8PK2l7WJ3RER9xtqwdhxkhw/edit?usp=sharing"",""นครนายก!J82"")"),1)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IFERROR(__xludf.DUMMYFUNCTION("IMPORTRANGE(""https://docs.google.com/spreadsheets/d/1SX6NBoVAgQJ6U1MVXOaj8PK2l7WJ3RER9xtqwdhxkhw/edit?usp=sharing"",""นครนายก!I83"")"),4)</f>
        <v>4</v>
      </c>
      <c r="J158" s="189">
        <f ca="1">IFERROR(__xludf.DUMMYFUNCTION("IMPORTRANGE(""https://docs.google.com/spreadsheets/d/1SX6NBoVAgQJ6U1MVXOaj8PK2l7WJ3RER9xtqwdhxkhw/edit?usp=sharing"",""นครนายก!J83"")"),1)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IFERROR(__xludf.DUMMYFUNCTION("IMPORTRANGE(""https://docs.google.com/spreadsheets/d/1SX6NBoVAgQJ6U1MVXOaj8PK2l7WJ3RER9xtqwdhxkhw/edit?usp=sharing"",""นครนายก!J84"")"),96)</f>
        <v>96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IFERROR(__xludf.DUMMYFUNCTION("IMPORTRANGE(""https://docs.google.com/spreadsheets/d/1SX6NBoVAgQJ6U1MVXOaj8PK2l7WJ3RER9xtqwdhxkhw/edit?usp=sharing"",""นครนายก!J85"")"),96)</f>
        <v>96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IFERROR(__xludf.DUMMYFUNCTION("IMPORTRANGE(""https://docs.google.com/spreadsheets/d/1SX6NBoVAgQJ6U1MVXOaj8PK2l7WJ3RER9xtqwdhxkhw/edit?usp=sharing"",""นครนายก!J86"")"),0)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IFERROR(__xludf.DUMMYFUNCTION("IMPORTRANGE(""https://docs.google.com/spreadsheets/d/1SX6NBoVAgQJ6U1MVXOaj8PK2l7WJ3RER9xtqwdhxkhw/edit?usp=sharing"",""นครนายก!J87"")"),0)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IFERROR(__xludf.DUMMYFUNCTION("IMPORTRANGE(""https://docs.google.com/spreadsheets/d/1SX6NBoVAgQJ6U1MVXOaj8PK2l7WJ3RER9xtqwdhxkhw/edit?usp=sharing"",""นครนายก!J88"")"),0)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IFERROR(__xludf.DUMMYFUNCTION("IMPORTRANGE(""https://docs.google.com/spreadsheets/d/1SX6NBoVAgQJ6U1MVXOaj8PK2l7WJ3RER9xtqwdhxkhw/edit?usp=sharing"",""นครนายก!I89"")"),3)</f>
        <v>3</v>
      </c>
      <c r="J164" s="284">
        <f ca="1">IFERROR(__xludf.DUMMYFUNCTION("IMPORTRANGE(""https://docs.google.com/spreadsheets/d/1SX6NBoVAgQJ6U1MVXOaj8PK2l7WJ3RER9xtqwdhxkhw/edit?usp=sharing"",""นครนายก!J89"")"),3)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IFERROR(__xludf.DUMMYFUNCTION("IMPORTRANGE(""https://docs.google.com/spreadsheets/d/1SX6NBoVAgQJ6U1MVXOaj8PK2l7WJ3RER9xtqwdhxkhw/edit?usp=sharing"",""นครนายก!J94"")"),0)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IFERROR(__xludf.DUMMYFUNCTION("IMPORTRANGE(""https://docs.google.com/spreadsheets/d/1SX6NBoVAgQJ6U1MVXOaj8PK2l7WJ3RER9xtqwdhxkhw/edit?usp=sharing"",""นครนายก!J95"")"),1)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IFERROR(__xludf.DUMMYFUNCTION("IMPORTRANGE(""https://docs.google.com/spreadsheets/d/1SX6NBoVAgQJ6U1MVXOaj8PK2l7WJ3RER9xtqwdhxkhw/edit?usp=sharing"",""นครนายก!J96"")"),1)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IFERROR(__xludf.DUMMYFUNCTION("IMPORTRANGE(""https://docs.google.com/spreadsheets/d/1SX6NBoVAgQJ6U1MVXOaj8PK2l7WJ3RER9xtqwdhxkhw/edit?usp=sharing"",""นครนายก!J97"")"),1)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IFERROR(__xludf.DUMMYFUNCTION("IMPORTRANGE(""https://docs.google.com/spreadsheets/d/1SX6NBoVAgQJ6U1MVXOaj8PK2l7WJ3RER9xtqwdhxkhw/edit?usp=sharing"",""นครนายก!I98"")"),3)</f>
        <v>3</v>
      </c>
      <c r="J173" s="189">
        <f ca="1">IFERROR(__xludf.DUMMYFUNCTION("IMPORTRANGE(""https://docs.google.com/spreadsheets/d/1SX6NBoVAgQJ6U1MVXOaj8PK2l7WJ3RER9xtqwdhxkhw/edit?usp=sharing"",""นครนายก!J98"")"),3)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IFERROR(__xludf.DUMMYFUNCTION("IMPORTRANGE(""https://docs.google.com/spreadsheets/d/1SX6NBoVAgQJ6U1MVXOaj8PK2l7WJ3RER9xtqwdhxkhw/edit?usp=sharing"",""นครนายก!J99"")"),1)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IFERROR(__xludf.DUMMYFUNCTION("IMPORTRANGE(""https://docs.google.com/spreadsheets/d/1SX6NBoVAgQJ6U1MVXOaj8PK2l7WJ3RER9xtqwdhxkhw/edit?usp=sharing"",""นครนายก!J100"")"),0)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IFERROR(__xludf.DUMMYFUNCTION("IMPORTRANGE(""https://docs.google.com/spreadsheets/d/1SX6NBoVAgQJ6U1MVXOaj8PK2l7WJ3RER9xtqwdhxkhw/edit?usp=sharing"",""นครนายก!I101"")"),0)</f>
        <v>0</v>
      </c>
      <c r="J176" s="284">
        <f ca="1">IFERROR(__xludf.DUMMYFUNCTION("IMPORTRANGE(""https://docs.google.com/spreadsheets/d/1SX6NBoVAgQJ6U1MVXOaj8PK2l7WJ3RER9xtqwdhxkhw/edit?usp=sharing"",""นครนายก!J101"")"),0)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IFERROR(__xludf.DUMMYFUNCTION("IMPORTRANGE(""https://docs.google.com/spreadsheets/d/1SX6NBoVAgQJ6U1MVXOaj8PK2l7WJ3RER9xtqwdhxkhw/edit?usp=sharing"",""นครนายก!J106"")"),0)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IFERROR(__xludf.DUMMYFUNCTION("IMPORTRANGE(""https://docs.google.com/spreadsheets/d/1SX6NBoVAgQJ6U1MVXOaj8PK2l7WJ3RER9xtqwdhxkhw/edit?usp=sharing"",""นครนายก!J107"")"),0)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IFERROR(__xludf.DUMMYFUNCTION("IMPORTRANGE(""https://docs.google.com/spreadsheets/d/1SX6NBoVAgQJ6U1MVXOaj8PK2l7WJ3RER9xtqwdhxkhw/edit?usp=sharing"",""นครนายก!J108"")"),0)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IFERROR(__xludf.DUMMYFUNCTION("IMPORTRANGE(""https://docs.google.com/spreadsheets/d/1SX6NBoVAgQJ6U1MVXOaj8PK2l7WJ3RER9xtqwdhxkhw/edit?usp=sharing"",""นครนายก!J109"")"),0)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IFERROR(__xludf.DUMMYFUNCTION("IMPORTRANGE(""https://docs.google.com/spreadsheets/d/1SX6NBoVAgQJ6U1MVXOaj8PK2l7WJ3RER9xtqwdhxkhw/edit?usp=sharing"",""นครนายก!I110"")"),0)</f>
        <v>0</v>
      </c>
      <c r="J185" s="204">
        <f ca="1">IFERROR(__xludf.DUMMYFUNCTION("IMPORTRANGE(""https://docs.google.com/spreadsheets/d/1SX6NBoVAgQJ6U1MVXOaj8PK2l7WJ3RER9xtqwdhxkhw/edit?usp=sharing"",""นครนายก!J110"")"),0)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IFERROR(__xludf.DUMMYFUNCTION("IMPORTRANGE(""https://docs.google.com/spreadsheets/d/1SX6NBoVAgQJ6U1MVXOaj8PK2l7WJ3RER9xtqwdhxkhw/edit?usp=sharing"",""นครนายก!I111"")"),0)</f>
        <v>0</v>
      </c>
      <c r="J186" s="204">
        <f ca="1">IFERROR(__xludf.DUMMYFUNCTION("IMPORTRANGE(""https://docs.google.com/spreadsheets/d/1SX6NBoVAgQJ6U1MVXOaj8PK2l7WJ3RER9xtqwdhxkhw/edit?usp=sharing"",""นครนายก!J111"")"),0)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IFERROR(__xludf.DUMMYFUNCTION("IMPORTRANGE(""https://docs.google.com/spreadsheets/d/1SX6NBoVAgQJ6U1MVXOaj8PK2l7WJ3RER9xtqwdhxkhw/edit?usp=sharing"",""นครนายก!J112"")"),0)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IFERROR(__xludf.DUMMYFUNCTION("IMPORTRANGE(""https://docs.google.com/spreadsheets/d/1SX6NBoVAgQJ6U1MVXOaj8PK2l7WJ3RER9xtqwdhxkhw/edit?usp=sharing"",""นครนายก!J113"")"),0)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IFERROR(__xludf.DUMMYFUNCTION("IMPORTRANGE(""https://docs.google.com/spreadsheets/d/1SX6NBoVAgQJ6U1MVXOaj8PK2l7WJ3RER9xtqwdhxkhw/edit?usp=sharing"",""นครนายก!I114"")"),30000)</f>
        <v>30000</v>
      </c>
      <c r="J189" s="284">
        <f ca="1">IFERROR(__xludf.DUMMYFUNCTION("IMPORTRANGE(""https://docs.google.com/spreadsheets/d/1SX6NBoVAgQJ6U1MVXOaj8PK2l7WJ3RER9xtqwdhxkhw/edit?usp=sharing"",""นครนายก!J114"")"),0)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IFERROR(__xludf.DUMMYFUNCTION("IMPORTRANGE(""https://docs.google.com/spreadsheets/d/1SX6NBoVAgQJ6U1MVXOaj8PK2l7WJ3RER9xtqwdhxkhw/edit?usp=sharing"",""นครนายก!J119"")"),1)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IFERROR(__xludf.DUMMYFUNCTION("IMPORTRANGE(""https://docs.google.com/spreadsheets/d/1SX6NBoVAgQJ6U1MVXOaj8PK2l7WJ3RER9xtqwdhxkhw/edit?usp=sharing"",""นครนายก!J120"")"),0)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IFERROR(__xludf.DUMMYFUNCTION("IMPORTRANGE(""https://docs.google.com/spreadsheets/d/1SX6NBoVAgQJ6U1MVXOaj8PK2l7WJ3RER9xtqwdhxkhw/edit?usp=sharing"",""นครนายก!J121"")"),0)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IFERROR(__xludf.DUMMYFUNCTION("IMPORTRANGE(""https://docs.google.com/spreadsheets/d/1SX6NBoVAgQJ6U1MVXOaj8PK2l7WJ3RER9xtqwdhxkhw/edit?usp=sharing"",""นครนายก!J122"")"),0)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IFERROR(__xludf.DUMMYFUNCTION("IMPORTRANGE(""https://docs.google.com/spreadsheets/d/1SX6NBoVAgQJ6U1MVXOaj8PK2l7WJ3RER9xtqwdhxkhw/edit?usp=sharing"",""นครนายก!I124"")"),30000)</f>
        <v>30000</v>
      </c>
      <c r="J199" s="189">
        <f ca="1">IFERROR(__xludf.DUMMYFUNCTION("IMPORTRANGE(""https://docs.google.com/spreadsheets/d/1SX6NBoVAgQJ6U1MVXOaj8PK2l7WJ3RER9xtqwdhxkhw/edit?usp=sharing"",""นครนายก!J124"")"),0)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IFERROR(__xludf.DUMMYFUNCTION("IMPORTRANGE(""https://docs.google.com/spreadsheets/d/1SX6NBoVAgQJ6U1MVXOaj8PK2l7WJ3RER9xtqwdhxkhw/edit?usp=sharing"",""นครนายก!I125"")"),30000)</f>
        <v>30000</v>
      </c>
      <c r="J200" s="189">
        <f ca="1">IFERROR(__xludf.DUMMYFUNCTION("IMPORTRANGE(""https://docs.google.com/spreadsheets/d/1SX6NBoVAgQJ6U1MVXOaj8PK2l7WJ3RER9xtqwdhxkhw/edit?usp=sharing"",""นครนายก!J125"")"),0)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IFERROR(__xludf.DUMMYFUNCTION("IMPORTRANGE(""https://docs.google.com/spreadsheets/d/1SX6NBoVAgQJ6U1MVXOaj8PK2l7WJ3RER9xtqwdhxkhw/edit?usp=sharing"",""นครนายก!I126"")"),0)</f>
        <v>0</v>
      </c>
      <c r="J201" s="189">
        <f ca="1">IFERROR(__xludf.DUMMYFUNCTION("IMPORTRANGE(""https://docs.google.com/spreadsheets/d/1SX6NBoVAgQJ6U1MVXOaj8PK2l7WJ3RER9xtqwdhxkhw/edit?usp=sharing"",""นครนายก!J126"")"),0)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IFERROR(__xludf.DUMMYFUNCTION("IMPORTRANGE(""https://docs.google.com/spreadsheets/d/1SX6NBoVAgQJ6U1MVXOaj8PK2l7WJ3RER9xtqwdhxkhw/edit?usp=sharing"",""นครนายก!J127"")"),0)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IFERROR(__xludf.DUMMYFUNCTION("IMPORTRANGE(""https://docs.google.com/spreadsheets/d/1SX6NBoVAgQJ6U1MVXOaj8PK2l7WJ3RER9xtqwdhxkhw/edit?usp=sharing"",""นครนายก!J128"")"),0)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IFERROR(__xludf.DUMMYFUNCTION("IMPORTRANGE(""https://docs.google.com/spreadsheets/d/1SX6NBoVAgQJ6U1MVXOaj8PK2l7WJ3RER9xtqwdhxkhw/edit?usp=sharing"",""นครนายก!I129"")"),20)</f>
        <v>20</v>
      </c>
      <c r="J204" s="284">
        <f ca="1">IFERROR(__xludf.DUMMYFUNCTION("IMPORTRANGE(""https://docs.google.com/spreadsheets/d/1SX6NBoVAgQJ6U1MVXOaj8PK2l7WJ3RER9xtqwdhxkhw/edit?usp=sharing"",""นครนายก!J129"")"),20)</f>
        <v>20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IFERROR(__xludf.DUMMYFUNCTION("IMPORTRANGE(""https://docs.google.com/spreadsheets/d/1SX6NBoVAgQJ6U1MVXOaj8PK2l7WJ3RER9xtqwdhxkhw/edit?usp=sharing"",""นครนายก!J134"")"),0)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IFERROR(__xludf.DUMMYFUNCTION("IMPORTRANGE(""https://docs.google.com/spreadsheets/d/1SX6NBoVAgQJ6U1MVXOaj8PK2l7WJ3RER9xtqwdhxkhw/edit?usp=sharing"",""นครนายก!J135"")"),1)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IFERROR(__xludf.DUMMYFUNCTION("IMPORTRANGE(""https://docs.google.com/spreadsheets/d/1SX6NBoVAgQJ6U1MVXOaj8PK2l7WJ3RER9xtqwdhxkhw/edit?usp=sharing"",""นครนายก!J136"")"),1)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IFERROR(__xludf.DUMMYFUNCTION("IMPORTRANGE(""https://docs.google.com/spreadsheets/d/1SX6NBoVAgQJ6U1MVXOaj8PK2l7WJ3RER9xtqwdhxkhw/edit?usp=sharing"",""นครนายก!J137"")"),1)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IFERROR(__xludf.DUMMYFUNCTION("IMPORTRANGE(""https://docs.google.com/spreadsheets/d/1SX6NBoVAgQJ6U1MVXOaj8PK2l7WJ3RER9xtqwdhxkhw/edit?usp=sharing"",""นครนายก!I138"")"),20)</f>
        <v>20</v>
      </c>
      <c r="J213" s="204">
        <f ca="1">IFERROR(__xludf.DUMMYFUNCTION("IMPORTRANGE(""https://docs.google.com/spreadsheets/d/1SX6NBoVAgQJ6U1MVXOaj8PK2l7WJ3RER9xtqwdhxkhw/edit?usp=sharing"",""นครนายก!J138"")"),20)</f>
        <v>20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IFERROR(__xludf.DUMMYFUNCTION("IMPORTRANGE(""https://docs.google.com/spreadsheets/d/1SX6NBoVAgQJ6U1MVXOaj8PK2l7WJ3RER9xtqwdhxkhw/edit?usp=sharing"",""นครนายก!I140"")"),0)</f>
        <v>0</v>
      </c>
      <c r="J215" s="204">
        <f ca="1">IFERROR(__xludf.DUMMYFUNCTION("IMPORTRANGE(""https://docs.google.com/spreadsheets/d/1SX6NBoVAgQJ6U1MVXOaj8PK2l7WJ3RER9xtqwdhxkhw/edit?usp=sharing"",""นครนายก!J140"")"),0)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IFERROR(__xludf.DUMMYFUNCTION("IMPORTRANGE(""https://docs.google.com/spreadsheets/d/1SX6NBoVAgQJ6U1MVXOaj8PK2l7WJ3RER9xtqwdhxkhw/edit?usp=sharing"",""นครนายก!I141"")"),1)</f>
        <v>1</v>
      </c>
      <c r="J216" s="204">
        <f ca="1">IFERROR(__xludf.DUMMYFUNCTION("IMPORTRANGE(""https://docs.google.com/spreadsheets/d/1SX6NBoVAgQJ6U1MVXOaj8PK2l7WJ3RER9xtqwdhxkhw/edit?usp=sharing"",""นครนายก!J141"")"),0)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IFERROR(__xludf.DUMMYFUNCTION("IMPORTRANGE(""https://docs.google.com/spreadsheets/d/1SX6NBoVAgQJ6U1MVXOaj8PK2l7WJ3RER9xtqwdhxkhw/edit?usp=sharing"",""นครนายก!J142"")"),0)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IFERROR(__xludf.DUMMYFUNCTION("IMPORTRANGE(""https://docs.google.com/spreadsheets/d/1SX6NBoVAgQJ6U1MVXOaj8PK2l7WJ3RER9xtqwdhxkhw/edit?usp=sharing"",""นครนายก!J143"")"),0)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IFERROR(__xludf.DUMMYFUNCTION("IMPORTRANGE(""https://docs.google.com/spreadsheets/d/1SX6NBoVAgQJ6U1MVXOaj8PK2l7WJ3RER9xtqwdhxkhw/edit?usp=sharing"",""นครนายก!I144"")"),0)</f>
        <v>0</v>
      </c>
      <c r="J219" s="267">
        <f ca="1">IFERROR(__xludf.DUMMYFUNCTION("IMPORTRANGE(""https://docs.google.com/spreadsheets/d/1SX6NBoVAgQJ6U1MVXOaj8PK2l7WJ3RER9xtqwdhxkhw/edit?usp=sharing"",""นครนายก!J144"")"),0)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IFERROR(__xludf.DUMMYFUNCTION("IMPORTRANGE(""https://docs.google.com/spreadsheets/d/1Yj_ptqi66GCucihVvJfMjLAmec39IyEx_6qawtMGysU/edit?usp=sharing"",""สบก!BS65"")"),0)</f>
        <v>0</v>
      </c>
      <c r="N224" s="169">
        <f ca="1">IFERROR(__xludf.DUMMYFUNCTION("IMPORTRANGE(""https://docs.google.com/spreadsheets/d/1Yj_ptqi66GCucihVvJfMjLAmec39IyEx_6qawtMGysU/edit?usp=sharing"",""สบก!BT65"")"),0)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IFERROR(__xludf.DUMMYFUNCTION("IMPORTRANGE(""https://docs.google.com/spreadsheets/d/1Yj_ptqi66GCucihVvJfMjLAmec39IyEx_6qawtMGysU/edit?usp=sharing"",""สบก!BO65"")"),0)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IFERROR(__xludf.DUMMYFUNCTION("IMPORTRANGE(""https://docs.google.com/spreadsheets/d/1Yj_ptqi66GCucihVvJfMjLAmec39IyEx_6qawtMGysU/edit?usp=sharing"",""สบก!BP65"")"),0)</f>
        <v>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IFERROR(__xludf.DUMMYFUNCTION("IMPORTRANGE(""https://docs.google.com/spreadsheets/d/1Yj_ptqi66GCucihVvJfMjLAmec39IyEx_6qawtMGysU/edit?usp=sharing"",""สบก!BQ65"")"),0)</f>
        <v>0</v>
      </c>
      <c r="M228" s="49"/>
      <c r="N228" s="49">
        <f ca="1">IFERROR(__xludf.DUMMYFUNCTION("IMPORTRANGE(""https://docs.google.com/spreadsheets/d/1Yj_ptqi66GCucihVvJfMjLAmec39IyEx_6qawtMGysU/edit?usp=sharing"",""สบก!BU65"")"),0)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IFERROR(__xludf.DUMMYFUNCTION("IMPORTRANGE(""https://docs.google.com/spreadsheets/d/1SX6NBoVAgQJ6U1MVXOaj8PK2l7WJ3RER9xtqwdhxkhw/edit?usp=sharing"",""นครนายก!I149"")"),0)</f>
        <v>0</v>
      </c>
      <c r="J229" s="267">
        <f ca="1">IFERROR(__xludf.DUMMYFUNCTION("IMPORTRANGE(""https://docs.google.com/spreadsheets/d/1SX6NBoVAgQJ6U1MVXOaj8PK2l7WJ3RER9xtqwdhxkhw/edit?usp=sharing"",""นครนายก!J149"")"),0)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IFERROR(__xludf.DUMMYFUNCTION("IMPORTRANGE(""https://docs.google.com/spreadsheets/d/1SX6NBoVAgQJ6U1MVXOaj8PK2l7WJ3RER9xtqwdhxkhw/edit?usp=sharing"",""นครนายก!J151"")"),0)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IFERROR(__xludf.DUMMYFUNCTION("IMPORTRANGE(""https://docs.google.com/spreadsheets/d/1SX6NBoVAgQJ6U1MVXOaj8PK2l7WJ3RER9xtqwdhxkhw/edit?usp=sharing"",""นครนายก!J152"")"),0)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IFERROR(__xludf.DUMMYFUNCTION("IMPORTRANGE(""https://docs.google.com/spreadsheets/d/1SX6NBoVAgQJ6U1MVXOaj8PK2l7WJ3RER9xtqwdhxkhw/edit?usp=sharing"",""นครนายก!J153"")"),0)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IFERROR(__xludf.DUMMYFUNCTION("IMPORTRANGE(""https://docs.google.com/spreadsheets/d/1SX6NBoVAgQJ6U1MVXOaj8PK2l7WJ3RER9xtqwdhxkhw/edit?usp=sharing"",""นครนายก!J154"")"),0)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IFERROR(__xludf.DUMMYFUNCTION("IMPORTRANGE(""https://docs.google.com/spreadsheets/d/1SX6NBoVAgQJ6U1MVXOaj8PK2l7WJ3RER9xtqwdhxkhw/edit?usp=sharing"",""นครนายก!I155"")"),0)</f>
        <v>0</v>
      </c>
      <c r="J235" s="189">
        <f ca="1">IFERROR(__xludf.DUMMYFUNCTION("IMPORTRANGE(""https://docs.google.com/spreadsheets/d/1SX6NBoVAgQJ6U1MVXOaj8PK2l7WJ3RER9xtqwdhxkhw/edit?usp=sharing"",""นครนายก!J155"")"),0)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IFERROR(__xludf.DUMMYFUNCTION("IMPORTRANGE(""https://docs.google.com/spreadsheets/d/1SX6NBoVAgQJ6U1MVXOaj8PK2l7WJ3RER9xtqwdhxkhw/edit?usp=sharing"",""นครนายก!J156"")"),0)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IFERROR(__xludf.DUMMYFUNCTION("IMPORTRANGE(""https://docs.google.com/spreadsheets/d/1SX6NBoVAgQJ6U1MVXOaj8PK2l7WJ3RER9xtqwdhxkhw/edit?usp=sharing"",""นครนายก!J157"")"),0)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IFERROR(__xludf.DUMMYFUNCTION("IMPORTRANGE(""https://docs.google.com/spreadsheets/d/1SX6NBoVAgQJ6U1MVXOaj8PK2l7WJ3RER9xtqwdhxkhw/edit?usp=sharing"",""นครนายก!I158"")"),0)</f>
        <v>0</v>
      </c>
      <c r="J238" s="267">
        <f ca="1">IFERROR(__xludf.DUMMYFUNCTION("IMPORTRANGE(""https://docs.google.com/spreadsheets/d/1SX6NBoVAgQJ6U1MVXOaj8PK2l7WJ3RER9xtqwdhxkhw/edit?usp=sharing"",""นครนายก!J158"")"),0)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IFERROR(__xludf.DUMMYFUNCTION("IMPORTRANGE(""https://docs.google.com/spreadsheets/d/1SX6NBoVAgQJ6U1MVXOaj8PK2l7WJ3RER9xtqwdhxkhw/edit?usp=sharing"",""นครนายก!J159"")"),"")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IFERROR(__xludf.DUMMYFUNCTION("IMPORTRANGE(""https://docs.google.com/spreadsheets/d/1SX6NBoVAgQJ6U1MVXOaj8PK2l7WJ3RER9xtqwdhxkhw/edit?usp=sharing"",""นครนายก!J161"")"),0)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IFERROR(__xludf.DUMMYFUNCTION("IMPORTRANGE(""https://docs.google.com/spreadsheets/d/1SX6NBoVAgQJ6U1MVXOaj8PK2l7WJ3RER9xtqwdhxkhw/edit?usp=sharing"",""นครนายก!J162"")"),0)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IFERROR(__xludf.DUMMYFUNCTION("IMPORTRANGE(""https://docs.google.com/spreadsheets/d/1SX6NBoVAgQJ6U1MVXOaj8PK2l7WJ3RER9xtqwdhxkhw/edit?usp=sharing"",""นครนายก!J163"")"),0)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IFERROR(__xludf.DUMMYFUNCTION("IMPORTRANGE(""https://docs.google.com/spreadsheets/d/1SX6NBoVAgQJ6U1MVXOaj8PK2l7WJ3RER9xtqwdhxkhw/edit?usp=sharing"",""นครนายก!I164"")"),0)</f>
        <v>0</v>
      </c>
      <c r="J244" s="188">
        <f ca="1">IFERROR(__xludf.DUMMYFUNCTION("IMPORTRANGE(""https://docs.google.com/spreadsheets/d/1SX6NBoVAgQJ6U1MVXOaj8PK2l7WJ3RER9xtqwdhxkhw/edit?usp=sharing"",""นครนายก!J164"")"),0)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IFERROR(__xludf.DUMMYFUNCTION("IMPORTRANGE(""https://docs.google.com/spreadsheets/d/1SX6NBoVAgQJ6U1MVXOaj8PK2l7WJ3RER9xtqwdhxkhw/edit?usp=sharing"",""นครนายก!J165"")"),0)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IFERROR(__xludf.DUMMYFUNCTION("IMPORTRANGE(""https://docs.google.com/spreadsheets/d/1SX6NBoVAgQJ6U1MVXOaj8PK2l7WJ3RER9xtqwdhxkhw/edit?usp=sharing"",""นครนายก!J166"")"),0)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IFERROR(__xludf.DUMMYFUNCTION("IMPORTRANGE(""https://docs.google.com/spreadsheets/d/1SX6NBoVAgQJ6U1MVXOaj8PK2l7WJ3RER9xtqwdhxkhw/edit?usp=sharing"",""นครนายก!I169"")"),0)</f>
        <v>0</v>
      </c>
      <c r="J249" s="316">
        <f ca="1">IFERROR(__xludf.DUMMYFUNCTION("IMPORTRANGE(""https://docs.google.com/spreadsheets/d/1SX6NBoVAgQJ6U1MVXOaj8PK2l7WJ3RER9xtqwdhxkhw/edit?usp=sharing"",""นครนายก!J169"")"),0)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IFERROR(__xludf.DUMMYFUNCTION("IMPORTRANGE(""https://docs.google.com/spreadsheets/d/1Yj_ptqi66GCucihVvJfMjLAmec39IyEx_6qawtMGysU/edit?usp=sharing"",""สบก!CB65"")"),0)</f>
        <v>0</v>
      </c>
      <c r="N254" s="169">
        <f ca="1">IFERROR(__xludf.DUMMYFUNCTION("IMPORTRANGE(""https://docs.google.com/spreadsheets/d/1Yj_ptqi66GCucihVvJfMjLAmec39IyEx_6qawtMGysU/edit?usp=sharing"",""สบก!CC65"")"),0)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IFERROR(__xludf.DUMMYFUNCTION("IMPORTRANGE(""https://docs.google.com/spreadsheets/d/1Yj_ptqi66GCucihVvJfMjLAmec39IyEx_6qawtMGysU/edit?usp=sharing"",""สบก!BX65"")"),0)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IFERROR(__xludf.DUMMYFUNCTION("IMPORTRANGE(""https://docs.google.com/spreadsheets/d/1Yj_ptqi66GCucihVvJfMjLAmec39IyEx_6qawtMGysU/edit?usp=sharing"",""สบก!BY65"")"),0)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IFERROR(__xludf.DUMMYFUNCTION("IMPORTRANGE(""https://docs.google.com/spreadsheets/d/1Yj_ptqi66GCucihVvJfMjLAmec39IyEx_6qawtMGysU/edit?usp=sharing"",""สบก!BZ65"")"),0)</f>
        <v>0</v>
      </c>
      <c r="M258" s="49"/>
      <c r="N258" s="49">
        <f ca="1">IFERROR(__xludf.DUMMYFUNCTION("IMPORTRANGE(""https://docs.google.com/spreadsheets/d/1Yj_ptqi66GCucihVvJfMjLAmec39IyEx_6qawtMGysU/edit?usp=sharing"",""สบก!CD65"")"),0)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IFERROR(__xludf.DUMMYFUNCTION("IMPORTRANGE(""https://docs.google.com/spreadsheets/d/1SX6NBoVAgQJ6U1MVXOaj8PK2l7WJ3RER9xtqwdhxkhw/edit?usp=sharing"",""นครนายก!J175"")"),0)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IFERROR(__xludf.DUMMYFUNCTION("IMPORTRANGE(""https://docs.google.com/spreadsheets/d/1SX6NBoVAgQJ6U1MVXOaj8PK2l7WJ3RER9xtqwdhxkhw/edit?usp=sharing"",""นครนายก!J176"")"),0)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IFERROR(__xludf.DUMMYFUNCTION("IMPORTRANGE(""https://docs.google.com/spreadsheets/d/1SX6NBoVAgQJ6U1MVXOaj8PK2l7WJ3RER9xtqwdhxkhw/edit?usp=sharing"",""นครนายก!J177"")"),0)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IFERROR(__xludf.DUMMYFUNCTION("IMPORTRANGE(""https://docs.google.com/spreadsheets/d/1SX6NBoVAgQJ6U1MVXOaj8PK2l7WJ3RER9xtqwdhxkhw/edit?usp=sharing"",""นครนายก!J178"")"),0)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IFERROR(__xludf.DUMMYFUNCTION("IMPORTRANGE(""https://docs.google.com/spreadsheets/d/1SX6NBoVAgQJ6U1MVXOaj8PK2l7WJ3RER9xtqwdhxkhw/edit?usp=sharing"",""นครนายก!I179"")"),0)</f>
        <v>0</v>
      </c>
      <c r="J264" s="189">
        <f ca="1">IFERROR(__xludf.DUMMYFUNCTION("IMPORTRANGE(""https://docs.google.com/spreadsheets/d/1SX6NBoVAgQJ6U1MVXOaj8PK2l7WJ3RER9xtqwdhxkhw/edit?usp=sharing"",""นครนายก!J179"")"),0)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IFERROR(__xludf.DUMMYFUNCTION("IMPORTRANGE(""https://docs.google.com/spreadsheets/d/1SX6NBoVAgQJ6U1MVXOaj8PK2l7WJ3RER9xtqwdhxkhw/edit?usp=sharing"",""นครนายก!I180"")"),0)</f>
        <v>0</v>
      </c>
      <c r="J265" s="189">
        <f ca="1">IFERROR(__xludf.DUMMYFUNCTION("IMPORTRANGE(""https://docs.google.com/spreadsheets/d/1SX6NBoVAgQJ6U1MVXOaj8PK2l7WJ3RER9xtqwdhxkhw/edit?usp=sharing"",""นครนายก!J180"")"),0)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IFERROR(__xludf.DUMMYFUNCTION("IMPORTRANGE(""https://docs.google.com/spreadsheets/d/1SX6NBoVAgQJ6U1MVXOaj8PK2l7WJ3RER9xtqwdhxkhw/edit?usp=sharing"",""นครนายก!I181"")"),0)</f>
        <v>0</v>
      </c>
      <c r="J266" s="189">
        <f ca="1">IFERROR(__xludf.DUMMYFUNCTION("IMPORTRANGE(""https://docs.google.com/spreadsheets/d/1SX6NBoVAgQJ6U1MVXOaj8PK2l7WJ3RER9xtqwdhxkhw/edit?usp=sharing"",""นครนายก!J181"")"),0)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IFERROR(__xludf.DUMMYFUNCTION("IMPORTRANGE(""https://docs.google.com/spreadsheets/d/1SX6NBoVAgQJ6U1MVXOaj8PK2l7WJ3RER9xtqwdhxkhw/edit?usp=sharing"",""นครนายก!I182"")"),0)</f>
        <v>0</v>
      </c>
      <c r="J267" s="189">
        <f ca="1">IFERROR(__xludf.DUMMYFUNCTION("IMPORTRANGE(""https://docs.google.com/spreadsheets/d/1SX6NBoVAgQJ6U1MVXOaj8PK2l7WJ3RER9xtqwdhxkhw/edit?usp=sharing"",""นครนายก!J182"")"),0)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IFERROR(__xludf.DUMMYFUNCTION("IMPORTRANGE(""https://docs.google.com/spreadsheets/d/1SX6NBoVAgQJ6U1MVXOaj8PK2l7WJ3RER9xtqwdhxkhw/edit?usp=sharing"",""นครนายก!J183"")"),0)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IFERROR(__xludf.DUMMYFUNCTION("IMPORTRANGE(""https://docs.google.com/spreadsheets/d/1SX6NBoVAgQJ6U1MVXOaj8PK2l7WJ3RER9xtqwdhxkhw/edit?usp=sharing"",""นครนายก!J184"")"),0)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IFERROR(__xludf.DUMMYFUNCTION("IMPORTRANGE(""https://docs.google.com/spreadsheets/d/1SX6NBoVAgQJ6U1MVXOaj8PK2l7WJ3RER9xtqwdhxkhw/edit?usp=sharing"",""นครนายก!I185"")"),15)</f>
        <v>15</v>
      </c>
      <c r="J270" s="316">
        <f ca="1">IFERROR(__xludf.DUMMYFUNCTION("IMPORTRANGE(""https://docs.google.com/spreadsheets/d/1SX6NBoVAgQJ6U1MVXOaj8PK2l7WJ3RER9xtqwdhxkhw/edit?usp=sharing"",""นครนายก!J185"")"),15)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21510</v>
      </c>
      <c r="O271" s="151">
        <f t="shared" ref="O271:O273" ca="1" si="84">IF(L271&gt;0,N271*100/L271,0)</f>
        <v>38.967391304347828</v>
      </c>
      <c r="P271" s="151">
        <f t="shared" ref="P271:P273" ca="1" si="85">IF(M271&gt;0,N271*100/M271,0)</f>
        <v>66.697674418604649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21510</v>
      </c>
      <c r="O273" s="156">
        <f t="shared" ca="1" si="84"/>
        <v>38.967391304347828</v>
      </c>
      <c r="P273" s="156">
        <f t="shared" ca="1" si="85"/>
        <v>66.697674418604649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IFERROR(__xludf.DUMMYFUNCTION("IMPORTRANGE(""https://docs.google.com/spreadsheets/d/1Yj_ptqi66GCucihVvJfMjLAmec39IyEx_6qawtMGysU/edit?usp=sharing"",""สบก!CK65"")"),32250)</f>
        <v>32250</v>
      </c>
      <c r="N275" s="169">
        <f ca="1">IFERROR(__xludf.DUMMYFUNCTION("IMPORTRANGE(""https://docs.google.com/spreadsheets/d/1Yj_ptqi66GCucihVvJfMjLAmec39IyEx_6qawtMGysU/edit?usp=sharing"",""สบก!CL65"")"),21510)</f>
        <v>21510</v>
      </c>
      <c r="O275" s="169">
        <f ca="1">IF(L275&gt;0,N275*100/L275,0)</f>
        <v>38.967391304347828</v>
      </c>
      <c r="P275" s="169">
        <f ca="1">IF(M275&gt;0,N275*100/M275,0)</f>
        <v>66.697674418604649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IFERROR(__xludf.DUMMYFUNCTION("IMPORTRANGE(""https://docs.google.com/spreadsheets/d/1Yj_ptqi66GCucihVvJfMjLAmec39IyEx_6qawtMGysU/edit?usp=sharing"",""สบก!CG65"")"),0)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IFERROR(__xludf.DUMMYFUNCTION("IMPORTRANGE(""https://docs.google.com/spreadsheets/d/1Yj_ptqi66GCucihVvJfMjLAmec39IyEx_6qawtMGysU/edit?usp=sharing"",""สบก!CH65"")"),55200)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IFERROR(__xludf.DUMMYFUNCTION("IMPORTRANGE(""https://docs.google.com/spreadsheets/d/1Yj_ptqi66GCucihVvJfMjLAmec39IyEx_6qawtMGysU/edit?usp=sharing"",""สบก!CI65"")"),0)</f>
        <v>0</v>
      </c>
      <c r="M279" s="49"/>
      <c r="N279" s="49">
        <f ca="1">IFERROR(__xludf.DUMMYFUNCTION("IMPORTRANGE(""https://docs.google.com/spreadsheets/d/1Yj_ptqi66GCucihVvJfMjLAmec39IyEx_6qawtMGysU/edit?usp=sharing"",""สบก!CM65"")"),0)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IFERROR(__xludf.DUMMYFUNCTION("IMPORTRANGE(""https://docs.google.com/spreadsheets/d/1SX6NBoVAgQJ6U1MVXOaj8PK2l7WJ3RER9xtqwdhxkhw/edit?usp=sharing"",""นครนายก!J191"")"),0)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IFERROR(__xludf.DUMMYFUNCTION("IMPORTRANGE(""https://docs.google.com/spreadsheets/d/1SX6NBoVAgQJ6U1MVXOaj8PK2l7WJ3RER9xtqwdhxkhw/edit?usp=sharing"",""นครนายก!J192"")"),1)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IFERROR(__xludf.DUMMYFUNCTION("IMPORTRANGE(""https://docs.google.com/spreadsheets/d/1SX6NBoVAgQJ6U1MVXOaj8PK2l7WJ3RER9xtqwdhxkhw/edit?usp=sharing"",""นครนายก!J193"")"),1)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IFERROR(__xludf.DUMMYFUNCTION("IMPORTRANGE(""https://docs.google.com/spreadsheets/d/1SX6NBoVAgQJ6U1MVXOaj8PK2l7WJ3RER9xtqwdhxkhw/edit?usp=sharing"",""นครนายก!J194"")"),1)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IFERROR(__xludf.DUMMYFUNCTION("IMPORTRANGE(""https://docs.google.com/spreadsheets/d/1SX6NBoVAgQJ6U1MVXOaj8PK2l7WJ3RER9xtqwdhxkhw/edit?usp=sharing"",""นครนายก!I195"")"),15)</f>
        <v>15</v>
      </c>
      <c r="J285" s="189">
        <f ca="1">IFERROR(__xludf.DUMMYFUNCTION("IMPORTRANGE(""https://docs.google.com/spreadsheets/d/1SX6NBoVAgQJ6U1MVXOaj8PK2l7WJ3RER9xtqwdhxkhw/edit?usp=sharing"",""นครนายก!J195"")"),15)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IFERROR(__xludf.DUMMYFUNCTION("IMPORTRANGE(""https://docs.google.com/spreadsheets/d/1SX6NBoVAgQJ6U1MVXOaj8PK2l7WJ3RER9xtqwdhxkhw/edit?usp=sharing"",""นครนายก!J196"")"),0)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IFERROR(__xludf.DUMMYFUNCTION("IMPORTRANGE(""https://docs.google.com/spreadsheets/d/1SX6NBoVAgQJ6U1MVXOaj8PK2l7WJ3RER9xtqwdhxkhw/edit?usp=sharing"",""นครนายก!J197"")"),0)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IFERROR(__xludf.DUMMYFUNCTION("IMPORTRANGE(""https://docs.google.com/spreadsheets/d/1SX6NBoVAgQJ6U1MVXOaj8PK2l7WJ3RER9xtqwdhxkhw/edit?usp=sharing"",""นครนายก!I199"")"),0)</f>
        <v>0</v>
      </c>
      <c r="J289" s="316">
        <f ca="1">IFERROR(__xludf.DUMMYFUNCTION("IMPORTRANGE(""https://docs.google.com/spreadsheets/d/1SX6NBoVAgQJ6U1MVXOaj8PK2l7WJ3RER9xtqwdhxkhw/edit?usp=sharing"",""นครนายก!J199"")"),0)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IFERROR(__xludf.DUMMYFUNCTION("IMPORTRANGE(""https://docs.google.com/spreadsheets/d/1Yj_ptqi66GCucihVvJfMjLAmec39IyEx_6qawtMGysU/edit?usp=sharing"",""สบก!CT65"")"),0)</f>
        <v>0</v>
      </c>
      <c r="N294" s="169">
        <f ca="1">IFERROR(__xludf.DUMMYFUNCTION("IMPORTRANGE(""https://docs.google.com/spreadsheets/d/1Yj_ptqi66GCucihVvJfMjLAmec39IyEx_6qawtMGysU/edit?usp=sharing"",""สบก!CU65"")"),0)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IFERROR(__xludf.DUMMYFUNCTION("IMPORTRANGE(""https://docs.google.com/spreadsheets/d/1Yj_ptqi66GCucihVvJfMjLAmec39IyEx_6qawtMGysU/edit?usp=sharing"",""สบก!CP65"")"),0)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IFERROR(__xludf.DUMMYFUNCTION("IMPORTRANGE(""https://docs.google.com/spreadsheets/d/1Yj_ptqi66GCucihVvJfMjLAmec39IyEx_6qawtMGysU/edit?usp=sharing"",""สบก!CQ65"")"),0)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IFERROR(__xludf.DUMMYFUNCTION("IMPORTRANGE(""https://docs.google.com/spreadsheets/d/1Yj_ptqi66GCucihVvJfMjLAmec39IyEx_6qawtMGysU/edit?usp=sharing"",""สบก!CR65"")"),0)</f>
        <v>0</v>
      </c>
      <c r="M298" s="49"/>
      <c r="N298" s="49">
        <f ca="1">IFERROR(__xludf.DUMMYFUNCTION("IMPORTRANGE(""https://docs.google.com/spreadsheets/d/1Yj_ptqi66GCucihVvJfMjLAmec39IyEx_6qawtMGysU/edit?usp=sharing"",""สบก!CV65"")"),0)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IFERROR(__xludf.DUMMYFUNCTION("IMPORTRANGE(""https://docs.google.com/spreadsheets/d/1SX6NBoVAgQJ6U1MVXOaj8PK2l7WJ3RER9xtqwdhxkhw/edit?usp=sharing"",""นครนายก!J205"")"),0)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IFERROR(__xludf.DUMMYFUNCTION("IMPORTRANGE(""https://docs.google.com/spreadsheets/d/1SX6NBoVAgQJ6U1MVXOaj8PK2l7WJ3RER9xtqwdhxkhw/edit?usp=sharing"",""นครนายก!J206"")"),0)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IFERROR(__xludf.DUMMYFUNCTION("IMPORTRANGE(""https://docs.google.com/spreadsheets/d/1SX6NBoVAgQJ6U1MVXOaj8PK2l7WJ3RER9xtqwdhxkhw/edit?usp=sharing"",""นครนายก!J207"")"),0)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IFERROR(__xludf.DUMMYFUNCTION("IMPORTRANGE(""https://docs.google.com/spreadsheets/d/1SX6NBoVAgQJ6U1MVXOaj8PK2l7WJ3RER9xtqwdhxkhw/edit?usp=sharing"",""นครนายก!J208"")"),0)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IFERROR(__xludf.DUMMYFUNCTION("IMPORTRANGE(""https://docs.google.com/spreadsheets/d/1SX6NBoVAgQJ6U1MVXOaj8PK2l7WJ3RER9xtqwdhxkhw/edit?usp=sharing"",""นครนายก!I209"")"),0)</f>
        <v>0</v>
      </c>
      <c r="J304" s="204">
        <f ca="1">IFERROR(__xludf.DUMMYFUNCTION("IMPORTRANGE(""https://docs.google.com/spreadsheets/d/1SX6NBoVAgQJ6U1MVXOaj8PK2l7WJ3RER9xtqwdhxkhw/edit?usp=sharing"",""นครนายก!J209"")"),0)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IFERROR(__xludf.DUMMYFUNCTION("IMPORTRANGE(""https://docs.google.com/spreadsheets/d/1SX6NBoVAgQJ6U1MVXOaj8PK2l7WJ3RER9xtqwdhxkhw/edit?usp=sharing"",""นครนายก!I211"")"),0)</f>
        <v>0</v>
      </c>
      <c r="J306" s="204">
        <f ca="1">IFERROR(__xludf.DUMMYFUNCTION("IMPORTRANGE(""https://docs.google.com/spreadsheets/d/1SX6NBoVAgQJ6U1MVXOaj8PK2l7WJ3RER9xtqwdhxkhw/edit?usp=sharing"",""นครนายก!J211"")"),0)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IFERROR(__xludf.DUMMYFUNCTION("IMPORTRANGE(""https://docs.google.com/spreadsheets/d/1SX6NBoVAgQJ6U1MVXOaj8PK2l7WJ3RER9xtqwdhxkhw/edit?usp=sharing"",""นครนายก!J212"")"),0)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IFERROR(__xludf.DUMMYFUNCTION("IMPORTRANGE(""https://docs.google.com/spreadsheets/d/1SX6NBoVAgQJ6U1MVXOaj8PK2l7WJ3RER9xtqwdhxkhw/edit?usp=sharing"",""นครนายก!J213"")"),0)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IFERROR(__xludf.DUMMYFUNCTION("IMPORTRANGE(""https://docs.google.com/spreadsheets/d/1SX6NBoVAgQJ6U1MVXOaj8PK2l7WJ3RER9xtqwdhxkhw/edit?usp=sharing"",""นครนายก!I214"")"),0)</f>
        <v>0</v>
      </c>
      <c r="J309" s="333">
        <f ca="1">IFERROR(__xludf.DUMMYFUNCTION("IMPORTRANGE(""https://docs.google.com/spreadsheets/d/1SX6NBoVAgQJ6U1MVXOaj8PK2l7WJ3RER9xtqwdhxkhw/edit?usp=sharing"",""นครนายก!J214"")"),0)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IFERROR(__xludf.DUMMYFUNCTION("IMPORTRANGE(""https://docs.google.com/spreadsheets/d/1Yj_ptqi66GCucihVvJfMjLAmec39IyEx_6qawtMGysU/edit?usp=sharing"",""สบก!DC65"")"),0)</f>
        <v>0</v>
      </c>
      <c r="N314" s="169">
        <f ca="1">IFERROR(__xludf.DUMMYFUNCTION("IMPORTRANGE(""https://docs.google.com/spreadsheets/d/1Yj_ptqi66GCucihVvJfMjLAmec39IyEx_6qawtMGysU/edit?usp=sharing"",""สบก!DD65"")"),0)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IFERROR(__xludf.DUMMYFUNCTION("IMPORTRANGE(""https://docs.google.com/spreadsheets/d/1Yj_ptqi66GCucihVvJfMjLAmec39IyEx_6qawtMGysU/edit?usp=sharing"",""สบก!CY65"")"),0)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IFERROR(__xludf.DUMMYFUNCTION("IMPORTRANGE(""https://docs.google.com/spreadsheets/d/1Yj_ptqi66GCucihVvJfMjLAmec39IyEx_6qawtMGysU/edit?usp=sharing"",""สบก!CZ65"")"),0)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IFERROR(__xludf.DUMMYFUNCTION("IMPORTRANGE(""https://docs.google.com/spreadsheets/d/1Yj_ptqi66GCucihVvJfMjLAmec39IyEx_6qawtMGysU/edit?usp=sharing"",""สบก!DA65"")"),0)</f>
        <v>0</v>
      </c>
      <c r="M318" s="49"/>
      <c r="N318" s="49">
        <f ca="1">IFERROR(__xludf.DUMMYFUNCTION("IMPORTRANGE(""https://docs.google.com/spreadsheets/d/1Yj_ptqi66GCucihVvJfMjLAmec39IyEx_6qawtMGysU/edit?usp=sharing"",""สบก!DE65"")"),0)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IFERROR(__xludf.DUMMYFUNCTION("IMPORTRANGE(""https://docs.google.com/spreadsheets/d/1SX6NBoVAgQJ6U1MVXOaj8PK2l7WJ3RER9xtqwdhxkhw/edit?usp=sharing"",""นครนายก!J220"")"),0)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IFERROR(__xludf.DUMMYFUNCTION("IMPORTRANGE(""https://docs.google.com/spreadsheets/d/1SX6NBoVAgQJ6U1MVXOaj8PK2l7WJ3RER9xtqwdhxkhw/edit?usp=sharing"",""นครนายก!J221"")"),0)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IFERROR(__xludf.DUMMYFUNCTION("IMPORTRANGE(""https://docs.google.com/spreadsheets/d/1SX6NBoVAgQJ6U1MVXOaj8PK2l7WJ3RER9xtqwdhxkhw/edit?usp=sharing"",""นครนายก!J222"")"),0)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IFERROR(__xludf.DUMMYFUNCTION("IMPORTRANGE(""https://docs.google.com/spreadsheets/d/1SX6NBoVAgQJ6U1MVXOaj8PK2l7WJ3RER9xtqwdhxkhw/edit?usp=sharing"",""นครนายก!J223"")"),0)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IFERROR(__xludf.DUMMYFUNCTION("IMPORTRANGE(""https://docs.google.com/spreadsheets/d/1SX6NBoVAgQJ6U1MVXOaj8PK2l7WJ3RER9xtqwdhxkhw/edit?usp=sharing"",""นครนายก!I224"")"),0)</f>
        <v>0</v>
      </c>
      <c r="J324" s="204">
        <f ca="1">IFERROR(__xludf.DUMMYFUNCTION("IMPORTRANGE(""https://docs.google.com/spreadsheets/d/1SX6NBoVAgQJ6U1MVXOaj8PK2l7WJ3RER9xtqwdhxkhw/edit?usp=sharing"",""นครนายก!J224"")"),0)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IFERROR(__xludf.DUMMYFUNCTION("IMPORTRANGE(""https://docs.google.com/spreadsheets/d/1SX6NBoVAgQJ6U1MVXOaj8PK2l7WJ3RER9xtqwdhxkhw/edit?usp=sharing"",""นครนายก!J225"")"),0)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IFERROR(__xludf.DUMMYFUNCTION("IMPORTRANGE(""https://docs.google.com/spreadsheets/d/1SX6NBoVAgQJ6U1MVXOaj8PK2l7WJ3RER9xtqwdhxkhw/edit?usp=sharing"",""นครนายก!J226"")"),0)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IFERROR(__xludf.DUMMYFUNCTION("IMPORTRANGE(""https://docs.google.com/spreadsheets/d/1SX6NBoVAgQJ6U1MVXOaj8PK2l7WJ3RER9xtqwdhxkhw/edit?usp=sharing"",""นครนายก!I228"")"),0)</f>
        <v>0</v>
      </c>
      <c r="J328" s="339">
        <f ca="1">IFERROR(__xludf.DUMMYFUNCTION("IMPORTRANGE(""https://docs.google.com/spreadsheets/d/1SX6NBoVAgQJ6U1MVXOaj8PK2l7WJ3RER9xtqwdhxkhw/edit?usp=sharing"",""นครนายก!J228"")"),0)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749180</v>
      </c>
      <c r="M329" s="152">
        <f t="shared" ca="1" si="98"/>
        <v>558790</v>
      </c>
      <c r="N329" s="152">
        <f t="shared" ca="1" si="98"/>
        <v>295726</v>
      </c>
      <c r="O329" s="151">
        <f t="shared" ref="O329:O331" ca="1" si="99">IF(L329&gt;0,N329*100/L329,0)</f>
        <v>39.473290797939079</v>
      </c>
      <c r="P329" s="151">
        <f t="shared" ref="P329:P331" ca="1" si="100">IF(M329&gt;0,N329*100/M329,0)</f>
        <v>52.922564827573865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749180</v>
      </c>
      <c r="M331" s="157">
        <f t="shared" ca="1" si="102"/>
        <v>558790</v>
      </c>
      <c r="N331" s="157">
        <f t="shared" ca="1" si="102"/>
        <v>295726</v>
      </c>
      <c r="O331" s="156">
        <f t="shared" ca="1" si="99"/>
        <v>39.473290797939079</v>
      </c>
      <c r="P331" s="156">
        <f t="shared" ca="1" si="100"/>
        <v>52.922564827573865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711380</v>
      </c>
      <c r="M333" s="168">
        <f ca="1">IFERROR(__xludf.DUMMYFUNCTION("IMPORTRANGE(""https://docs.google.com/spreadsheets/d/1Yj_ptqi66GCucihVvJfMjLAmec39IyEx_6qawtMGysU/edit?usp=sharing"",""สบก!DL65"")"),520990)</f>
        <v>520990</v>
      </c>
      <c r="N333" s="169">
        <f ca="1">IFERROR(__xludf.DUMMYFUNCTION("IMPORTRANGE(""https://docs.google.com/spreadsheets/d/1Yj_ptqi66GCucihVvJfMjLAmec39IyEx_6qawtMGysU/edit?usp=sharing"",""สบก!DM65"")"),257926)</f>
        <v>257926</v>
      </c>
      <c r="O333" s="169">
        <f ca="1">IF(L333&gt;0,N333*100/L333,0)</f>
        <v>36.257134021198233</v>
      </c>
      <c r="P333" s="169">
        <f ca="1">IF(M333&gt;0,N333*100/M333,0)</f>
        <v>49.506900324382428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IFERROR(__xludf.DUMMYFUNCTION("IMPORTRANGE(""https://docs.google.com/spreadsheets/d/1Yj_ptqi66GCucihVvJfMjLAmec39IyEx_6qawtMGysU/edit?usp=sharing"",""สบก!DH65"")"),529200)</f>
        <v>529200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IFERROR(__xludf.DUMMYFUNCTION("IMPORTRANGE(""https://docs.google.com/spreadsheets/d/1Yj_ptqi66GCucihVvJfMjLAmec39IyEx_6qawtMGysU/edit?usp=sharing"",""สบก!DI65"")"),182180)</f>
        <v>182180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IFERROR(__xludf.DUMMYFUNCTION("IMPORTRANGE(""https://docs.google.com/spreadsheets/d/1Yj_ptqi66GCucihVvJfMjLAmec39IyEx_6qawtMGysU/edit?usp=sharing"",""สบก!DJ65"")"),37800)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IFERROR(__xludf.DUMMYFUNCTION("IMPORTRANGE(""https://docs.google.com/spreadsheets/d/1Yj_ptqi66GCucihVvJfMjLAmec39IyEx_6qawtMGysU/edit?usp=sharing"",""สบก!DN65"")"),37800)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IFERROR(__xludf.DUMMYFUNCTION("IMPORTRANGE(""https://docs.google.com/spreadsheets/d/1SX6NBoVAgQJ6U1MVXOaj8PK2l7WJ3RER9xtqwdhxkhw/edit?usp=sharing"",""นครนายก!I234"")"),0)</f>
        <v>0</v>
      </c>
      <c r="J339" s="188">
        <f ca="1">IFERROR(__xludf.DUMMYFUNCTION("IMPORTRANGE(""https://docs.google.com/spreadsheets/d/1SX6NBoVAgQJ6U1MVXOaj8PK2l7WJ3RER9xtqwdhxkhw/edit?usp=sharing"",""นครนายก!J234"")"),0)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IFERROR(__xludf.DUMMYFUNCTION("IMPORTRANGE(""https://docs.google.com/spreadsheets/d/1SX6NBoVAgQJ6U1MVXOaj8PK2l7WJ3RER9xtqwdhxkhw/edit?usp=sharing"",""นครนายก!I235"")"),0)</f>
        <v>0</v>
      </c>
      <c r="J340" s="188">
        <f ca="1">IFERROR(__xludf.DUMMYFUNCTION("IMPORTRANGE(""https://docs.google.com/spreadsheets/d/1SX6NBoVAgQJ6U1MVXOaj8PK2l7WJ3RER9xtqwdhxkhw/edit?usp=sharing"",""นครนายก!J235"")"),0)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IFERROR(__xludf.DUMMYFUNCTION("IMPORTRANGE(""https://docs.google.com/spreadsheets/d/1SX6NBoVAgQJ6U1MVXOaj8PK2l7WJ3RER9xtqwdhxkhw/edit?usp=sharing"",""นครนายก!I236"")"),0)</f>
        <v>0</v>
      </c>
      <c r="J341" s="188">
        <f ca="1">IFERROR(__xludf.DUMMYFUNCTION("IMPORTRANGE(""https://docs.google.com/spreadsheets/d/1SX6NBoVAgQJ6U1MVXOaj8PK2l7WJ3RER9xtqwdhxkhw/edit?usp=sharing"",""นครนายก!J236"")"),0)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IFERROR(__xludf.DUMMYFUNCTION("IMPORTRANGE(""https://docs.google.com/spreadsheets/d/1SX6NBoVAgQJ6U1MVXOaj8PK2l7WJ3RER9xtqwdhxkhw/edit?usp=sharing"",""นครนายก!I237"")"),0)</f>
        <v>0</v>
      </c>
      <c r="J342" s="188">
        <f ca="1">IFERROR(__xludf.DUMMYFUNCTION("IMPORTRANGE(""https://docs.google.com/spreadsheets/d/1SX6NBoVAgQJ6U1MVXOaj8PK2l7WJ3RER9xtqwdhxkhw/edit?usp=sharing"",""นครนายก!J237"")"),0)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IFERROR(__xludf.DUMMYFUNCTION("IMPORTRANGE(""https://docs.google.com/spreadsheets/d/1SX6NBoVAgQJ6U1MVXOaj8PK2l7WJ3RER9xtqwdhxkhw/edit?usp=sharing"",""นครนายก!I238"")"),0)</f>
        <v>0</v>
      </c>
      <c r="J343" s="188">
        <f ca="1">IFERROR(__xludf.DUMMYFUNCTION("IMPORTRANGE(""https://docs.google.com/spreadsheets/d/1SX6NBoVAgQJ6U1MVXOaj8PK2l7WJ3RER9xtqwdhxkhw/edit?usp=sharing"",""นครนายก!J238"")"),0)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IFERROR(__xludf.DUMMYFUNCTION("IMPORTRANGE(""https://docs.google.com/spreadsheets/d/1SX6NBoVAgQJ6U1MVXOaj8PK2l7WJ3RER9xtqwdhxkhw/edit?usp=sharing"",""นครนายก!I239"")"),0)</f>
        <v>0</v>
      </c>
      <c r="J344" s="188">
        <f ca="1">IFERROR(__xludf.DUMMYFUNCTION("IMPORTRANGE(""https://docs.google.com/spreadsheets/d/1SX6NBoVAgQJ6U1MVXOaj8PK2l7WJ3RER9xtqwdhxkhw/edit?usp=sharing"",""นครนายก!J239"")"),0)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IFERROR(__xludf.DUMMYFUNCTION("IMPORTRANGE(""https://docs.google.com/spreadsheets/d/1SX6NBoVAgQJ6U1MVXOaj8PK2l7WJ3RER9xtqwdhxkhw/edit?usp=sharing"",""นครนายก!I240"")"),0)</f>
        <v>0</v>
      </c>
      <c r="J345" s="188">
        <f ca="1">IFERROR(__xludf.DUMMYFUNCTION("IMPORTRANGE(""https://docs.google.com/spreadsheets/d/1SX6NBoVAgQJ6U1MVXOaj8PK2l7WJ3RER9xtqwdhxkhw/edit?usp=sharing"",""นครนายก!J240"")"),0)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IFERROR(__xludf.DUMMYFUNCTION("IMPORTRANGE(""https://docs.google.com/spreadsheets/d/1SX6NBoVAgQJ6U1MVXOaj8PK2l7WJ3RER9xtqwdhxkhw/edit?usp=sharing"",""นครนายก!I241"")"),0)</f>
        <v>0</v>
      </c>
      <c r="J346" s="188">
        <f ca="1">IFERROR(__xludf.DUMMYFUNCTION("IMPORTRANGE(""https://docs.google.com/spreadsheets/d/1SX6NBoVAgQJ6U1MVXOaj8PK2l7WJ3RER9xtqwdhxkhw/edit?usp=sharing"",""นครนายก!J241"")"),0)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IFERROR(__xludf.DUMMYFUNCTION("IMPORTRANGE(""https://docs.google.com/spreadsheets/d/1SX6NBoVAgQJ6U1MVXOaj8PK2l7WJ3RER9xtqwdhxkhw/edit?usp=sharing"",""นครนายก!L242"")"),786810)</f>
        <v>786810</v>
      </c>
      <c r="M347" s="358"/>
      <c r="N347" s="358">
        <f ca="1">IFERROR(__xludf.DUMMYFUNCTION("IMPORTRANGE(""https://docs.google.com/spreadsheets/d/1SX6NBoVAgQJ6U1MVXOaj8PK2l7WJ3RER9xtqwdhxkhw/edit?usp=sharing"",""นครนายก!M242"")"),284730)</f>
        <v>284730</v>
      </c>
      <c r="O347" s="358">
        <f ca="1">+IF(L347&gt;0,N347*100/L347,0)</f>
        <v>36.187897967743169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IFERROR(__xludf.DUMMYFUNCTION("IMPORTRANGE(""https://docs.google.com/spreadsheets/d/1SX6NBoVAgQJ6U1MVXOaj8PK2l7WJ3RER9xtqwdhxkhw/edit?usp=sharing"",""นครนายก!I244"")"),25)</f>
        <v>25</v>
      </c>
      <c r="J349" s="371">
        <f ca="1">IFERROR(__xludf.DUMMYFUNCTION("IMPORTRANGE(""https://docs.google.com/spreadsheets/d/1SX6NBoVAgQJ6U1MVXOaj8PK2l7WJ3RER9xtqwdhxkhw/edit?usp=sharing"",""นครนายก!J244"")"),0)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IFERROR(__xludf.DUMMYFUNCTION("IMPORTRANGE(""https://docs.google.com/spreadsheets/d/1SX6NBoVAgQJ6U1MVXOaj8PK2l7WJ3RER9xtqwdhxkhw/edit?usp=sharing"",""นครนายก!L244"")"),78920)</f>
        <v>78920</v>
      </c>
      <c r="M349" s="373"/>
      <c r="N349" s="373">
        <f ca="1">IFERROR(__xludf.DUMMYFUNCTION("IMPORTRANGE(""https://docs.google.com/spreadsheets/d/1SX6NBoVAgQJ6U1MVXOaj8PK2l7WJ3RER9xtqwdhxkhw/edit?usp=sharing"",""นครนายก!M244"")"),43800)</f>
        <v>43800</v>
      </c>
      <c r="O349" s="373">
        <f ca="1">+IF(L349&gt;0,N349*100/L349,0)</f>
        <v>55.499239736441965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IFERROR(__xludf.DUMMYFUNCTION("IMPORTRANGE(""https://docs.google.com/spreadsheets/d/1SX6NBoVAgQJ6U1MVXOaj8PK2l7WJ3RER9xtqwdhxkhw/edit?usp=sharing"",""นครนายก!I245"")"),15)</f>
        <v>15</v>
      </c>
      <c r="J350" s="371">
        <f ca="1">IFERROR(__xludf.DUMMYFUNCTION("IMPORTRANGE(""https://docs.google.com/spreadsheets/d/1SX6NBoVAgQJ6U1MVXOaj8PK2l7WJ3RER9xtqwdhxkhw/edit?usp=sharing"",""นครนายก!J245"")"),15)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IFERROR(__xludf.DUMMYFUNCTION("IMPORTRANGE(""https://docs.google.com/spreadsheets/d/1SX6NBoVAgQJ6U1MVXOaj8PK2l7WJ3RER9xtqwdhxkhw/edit?usp=sharing"",""นครนายก!L246"")"),0)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IFERROR(__xludf.DUMMYFUNCTION("IMPORTRANGE(""https://docs.google.com/spreadsheets/d/1SX6NBoVAgQJ6U1MVXOaj8PK2l7WJ3RER9xtqwdhxkhw/edit?usp=sharing"",""นครนายก!M246"")"),0)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IFERROR(__xludf.DUMMYFUNCTION("IMPORTRANGE(""https://docs.google.com/spreadsheets/d/1SX6NBoVAgQJ6U1MVXOaj8PK2l7WJ3RER9xtqwdhxkhw/edit?usp=sharing"",""นครนายก!L247"")"),78920)</f>
        <v>78920</v>
      </c>
      <c r="M352" s="165"/>
      <c r="N352" s="164">
        <f ca="1">IFERROR(__xludf.DUMMYFUNCTION("IMPORTRANGE(""https://docs.google.com/spreadsheets/d/1SX6NBoVAgQJ6U1MVXOaj8PK2l7WJ3RER9xtqwdhxkhw/edit?usp=sharing"",""นครนายก!M247"")"),43800)</f>
        <v>43800</v>
      </c>
      <c r="O352" s="165">
        <f t="shared" ca="1" si="105"/>
        <v>55.499239736441965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IFERROR(__xludf.DUMMYFUNCTION("IMPORTRANGE(""https://docs.google.com/spreadsheets/d/1SX6NBoVAgQJ6U1MVXOaj8PK2l7WJ3RER9xtqwdhxkhw/edit?usp=sharing"",""นครนายก!L248"")"),0)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IFERROR(__xludf.DUMMYFUNCTION("IMPORTRANGE(""https://docs.google.com/spreadsheets/d/1SX6NBoVAgQJ6U1MVXOaj8PK2l7WJ3RER9xtqwdhxkhw/edit?usp=sharing"",""นครนายก!M248"")"),0)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IFERROR(__xludf.DUMMYFUNCTION("IMPORTRANGE(""https://docs.google.com/spreadsheets/d/1SX6NBoVAgQJ6U1MVXOaj8PK2l7WJ3RER9xtqwdhxkhw/edit?usp=sharing"",""นครนายก!L249"")"),78920)</f>
        <v>78920</v>
      </c>
      <c r="M354" s="169"/>
      <c r="N354" s="168">
        <f ca="1">IFERROR(__xludf.DUMMYFUNCTION("IMPORTRANGE(""https://docs.google.com/spreadsheets/d/1SX6NBoVAgQJ6U1MVXOaj8PK2l7WJ3RER9xtqwdhxkhw/edit?usp=sharing"",""นครนายก!M249"")"),43800)</f>
        <v>43800</v>
      </c>
      <c r="O354" s="169">
        <f t="shared" ca="1" si="105"/>
        <v>55.499239736441965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IFERROR(__xludf.DUMMYFUNCTION("IMPORTRANGE(""https://docs.google.com/spreadsheets/d/1SX6NBoVAgQJ6U1MVXOaj8PK2l7WJ3RER9xtqwdhxkhw/edit?usp=sharing"",""นครนายก!M250"")"),43800)</f>
        <v>43800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IFERROR(__xludf.DUMMYFUNCTION("IMPORTRANGE(""https://docs.google.com/spreadsheets/d/1SX6NBoVAgQJ6U1MVXOaj8PK2l7WJ3RER9xtqwdhxkhw/edit?usp=sharing"",""นครนายก!M251"")"),0)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IFERROR(__xludf.DUMMYFUNCTION("IMPORTRANGE(""https://docs.google.com/spreadsheets/d/1SX6NBoVAgQJ6U1MVXOaj8PK2l7WJ3RER9xtqwdhxkhw/edit?usp=sharing"",""นครนายก!M252"")"),0)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IFERROR(__xludf.DUMMYFUNCTION("IMPORTRANGE(""https://docs.google.com/spreadsheets/d/1SX6NBoVAgQJ6U1MVXOaj8PK2l7WJ3RER9xtqwdhxkhw/edit?usp=sharing"",""นครนายก!M253"")"),0)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IFERROR(__xludf.DUMMYFUNCTION("IMPORTRANGE(""https://docs.google.com/spreadsheets/d/1SX6NBoVAgQJ6U1MVXOaj8PK2l7WJ3RER9xtqwdhxkhw/edit?usp=sharing"",""นครนายก!J255"")"),0)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IFERROR(__xludf.DUMMYFUNCTION("IMPORTRANGE(""https://docs.google.com/spreadsheets/d/1SX6NBoVAgQJ6U1MVXOaj8PK2l7WJ3RER9xtqwdhxkhw/edit?usp=sharing"",""นครนายก!J256"")"),1)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IFERROR(__xludf.DUMMYFUNCTION("IMPORTRANGE(""https://docs.google.com/spreadsheets/d/1SX6NBoVAgQJ6U1MVXOaj8PK2l7WJ3RER9xtqwdhxkhw/edit?usp=sharing"",""นครนายก!J257"")"),1)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IFERROR(__xludf.DUMMYFUNCTION("IMPORTRANGE(""https://docs.google.com/spreadsheets/d/1SX6NBoVAgQJ6U1MVXOaj8PK2l7WJ3RER9xtqwdhxkhw/edit?usp=sharing"",""นครนายก!J258"")"),1)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IFERROR(__xludf.DUMMYFUNCTION("IMPORTRANGE(""https://docs.google.com/spreadsheets/d/1SX6NBoVAgQJ6U1MVXOaj8PK2l7WJ3RER9xtqwdhxkhw/edit?usp=sharing"",""นครนายก!J166"")"),0)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IFERROR(__xludf.DUMMYFUNCTION("IMPORTRANGE(""https://docs.google.com/spreadsheets/d/1SX6NBoVAgQJ6U1MVXOaj8PK2l7WJ3RER9xtqwdhxkhw/edit?usp=sharing"",""นครนายก!J166"")"),0)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IFERROR(__xludf.DUMMYFUNCTION("IMPORTRANGE(""https://docs.google.com/spreadsheets/d/1SX6NBoVAgQJ6U1MVXOaj8PK2l7WJ3RER9xtqwdhxkhw/edit?usp=sharing"",""นครนายก!J166"")"),0)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IFERROR(__xludf.DUMMYFUNCTION("IMPORTRANGE(""https://docs.google.com/spreadsheets/d/1SX6NBoVAgQJ6U1MVXOaj8PK2l7WJ3RER9xtqwdhxkhw/edit?usp=sharing"",""นครนายก!J166"")"),0)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IFERROR(__xludf.DUMMYFUNCTION("IMPORTRANGE(""https://docs.google.com/spreadsheets/d/1SX6NBoVAgQJ6U1MVXOaj8PK2l7WJ3RER9xtqwdhxkhw/edit?usp=sharing"",""นครนายก!I263"")"),15)</f>
        <v>15</v>
      </c>
      <c r="J368" s="188">
        <f ca="1">IFERROR(__xludf.DUMMYFUNCTION("IMPORTRANGE(""https://docs.google.com/spreadsheets/d/1SX6NBoVAgQJ6U1MVXOaj8PK2l7WJ3RER9xtqwdhxkhw/edit?usp=sharing"",""นครนายก!J263"")"),15)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IFERROR(__xludf.DUMMYFUNCTION("IMPORTRANGE(""https://docs.google.com/spreadsheets/d/1SX6NBoVAgQJ6U1MVXOaj8PK2l7WJ3RER9xtqwdhxkhw/edit?usp=sharing"",""นครนายก!I164"")"),0)</f>
        <v>0</v>
      </c>
      <c r="J369" s="204">
        <f ca="1">IFERROR(__xludf.DUMMYFUNCTION("IMPORTRANGE(""https://docs.google.com/spreadsheets/d/1SX6NBoVAgQJ6U1MVXOaj8PK2l7WJ3RER9xtqwdhxkhw/edit?usp=sharing"",""นครนายก!J164"")"),0)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IFERROR(__xludf.DUMMYFUNCTION("IMPORTRANGE(""https://docs.google.com/spreadsheets/d/1SX6NBoVAgQJ6U1MVXOaj8PK2l7WJ3RER9xtqwdhxkhw/edit?usp=sharing"",""นครนายก!I265"")"),15)</f>
        <v>15</v>
      </c>
      <c r="J370" s="204">
        <f ca="1">IFERROR(__xludf.DUMMYFUNCTION("IMPORTRANGE(""https://docs.google.com/spreadsheets/d/1SX6NBoVAgQJ6U1MVXOaj8PK2l7WJ3RER9xtqwdhxkhw/edit?usp=sharing"",""นครนายก!J265"")"),5)</f>
        <v>5</v>
      </c>
      <c r="K370" s="163">
        <f t="shared" ca="1" si="106"/>
        <v>33.333333333333336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IFERROR(__xludf.DUMMYFUNCTION("IMPORTRANGE(""https://docs.google.com/spreadsheets/d/1SX6NBoVAgQJ6U1MVXOaj8PK2l7WJ3RER9xtqwdhxkhw/edit?usp=sharing"",""นครนายก!I164"")"),0)</f>
        <v>0</v>
      </c>
      <c r="J371" s="189">
        <f ca="1">IFERROR(__xludf.DUMMYFUNCTION("IMPORTRANGE(""https://docs.google.com/spreadsheets/d/1SX6NBoVAgQJ6U1MVXOaj8PK2l7WJ3RER9xtqwdhxkhw/edit?usp=sharing"",""นครนายก!J164"")"),0)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IFERROR(__xludf.DUMMYFUNCTION("IMPORTRANGE(""https://docs.google.com/spreadsheets/d/1SX6NBoVAgQJ6U1MVXOaj8PK2l7WJ3RER9xtqwdhxkhw/edit?usp=sharing"",""นครนายก!I267"")"),15)</f>
        <v>15</v>
      </c>
      <c r="J372" s="189">
        <f ca="1">IFERROR(__xludf.DUMMYFUNCTION("IMPORTRANGE(""https://docs.google.com/spreadsheets/d/1SX6NBoVAgQJ6U1MVXOaj8PK2l7WJ3RER9xtqwdhxkhw/edit?usp=sharing"",""นครนายก!J267"")"),10)</f>
        <v>10</v>
      </c>
      <c r="K372" s="163">
        <f t="shared" ca="1" si="106"/>
        <v>66.666666666666671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IFERROR(__xludf.DUMMYFUNCTION("IMPORTRANGE(""https://docs.google.com/spreadsheets/d/1SX6NBoVAgQJ6U1MVXOaj8PK2l7WJ3RER9xtqwdhxkhw/edit?usp=sharing"",""นครนายก!I164"")"),0)</f>
        <v>0</v>
      </c>
      <c r="J373" s="204">
        <f ca="1">IFERROR(__xludf.DUMMYFUNCTION("IMPORTRANGE(""https://docs.google.com/spreadsheets/d/1SX6NBoVAgQJ6U1MVXOaj8PK2l7WJ3RER9xtqwdhxkhw/edit?usp=sharing"",""นครนายก!J164"")"),0)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IFERROR(__xludf.DUMMYFUNCTION("IMPORTRANGE(""https://docs.google.com/spreadsheets/d/1SX6NBoVAgQJ6U1MVXOaj8PK2l7WJ3RER9xtqwdhxkhw/edit?usp=sharing"",""นครนายก!I164"")"),0)</f>
        <v>0</v>
      </c>
      <c r="J374" s="188">
        <f ca="1">IFERROR(__xludf.DUMMYFUNCTION("IMPORTRANGE(""https://docs.google.com/spreadsheets/d/1SX6NBoVAgQJ6U1MVXOaj8PK2l7WJ3RER9xtqwdhxkhw/edit?usp=sharing"",""นครนายก!J164"")"),0)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IFERROR(__xludf.DUMMYFUNCTION("IMPORTRANGE(""https://docs.google.com/spreadsheets/d/1SX6NBoVAgQJ6U1MVXOaj8PK2l7WJ3RER9xtqwdhxkhw/edit?usp=sharing"",""นครนายก!I270"")"),25)</f>
        <v>25</v>
      </c>
      <c r="J375" s="188">
        <f ca="1">IFERROR(__xludf.DUMMYFUNCTION("IMPORTRANGE(""https://docs.google.com/spreadsheets/d/1SX6NBoVAgQJ6U1MVXOaj8PK2l7WJ3RER9xtqwdhxkhw/edit?usp=sharing"",""นครนายก!J270"")"),0)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IFERROR(__xludf.DUMMYFUNCTION("IMPORTRANGE(""https://docs.google.com/spreadsheets/d/1SX6NBoVAgQJ6U1MVXOaj8PK2l7WJ3RER9xtqwdhxkhw/edit?usp=sharing"",""นครนายก!I271"")"),20)</f>
        <v>20</v>
      </c>
      <c r="J376" s="189">
        <f ca="1">IFERROR(__xludf.DUMMYFUNCTION("IMPORTRANGE(""https://docs.google.com/spreadsheets/d/1SX6NBoVAgQJ6U1MVXOaj8PK2l7WJ3RER9xtqwdhxkhw/edit?usp=sharing"",""นครนายก!J271"")"),0)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IFERROR(__xludf.DUMMYFUNCTION("IMPORTRANGE(""https://docs.google.com/spreadsheets/d/1SX6NBoVAgQJ6U1MVXOaj8PK2l7WJ3RER9xtqwdhxkhw/edit?usp=sharing"",""นครนายก!I272"")"),5)</f>
        <v>5</v>
      </c>
      <c r="J377" s="204">
        <f ca="1">IFERROR(__xludf.DUMMYFUNCTION("IMPORTRANGE(""https://docs.google.com/spreadsheets/d/1SX6NBoVAgQJ6U1MVXOaj8PK2l7WJ3RER9xtqwdhxkhw/edit?usp=sharing"",""นครนายก!J272"")"),0)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IFERROR(__xludf.DUMMYFUNCTION("IMPORTRANGE(""https://docs.google.com/spreadsheets/d/1SX6NBoVAgQJ6U1MVXOaj8PK2l7WJ3RER9xtqwdhxkhw/edit?usp=sharing"",""นครนายก!J273"")"),0)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IFERROR(__xludf.DUMMYFUNCTION("IMPORTRANGE(""https://docs.google.com/spreadsheets/d/1SX6NBoVAgQJ6U1MVXOaj8PK2l7WJ3RER9xtqwdhxkhw/edit?usp=sharing"",""นครนายก!J274"")"),0)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IFERROR(__xludf.DUMMYFUNCTION("IMPORTRANGE(""https://docs.google.com/spreadsheets/d/1SX6NBoVAgQJ6U1MVXOaj8PK2l7WJ3RER9xtqwdhxkhw/edit?usp=sharing"",""นครนายก!I275"")"),50)</f>
        <v>50</v>
      </c>
      <c r="J380" s="371">
        <f ca="1">IFERROR(__xludf.DUMMYFUNCTION("IMPORTRANGE(""https://docs.google.com/spreadsheets/d/1SX6NBoVAgQJ6U1MVXOaj8PK2l7WJ3RER9xtqwdhxkhw/edit?usp=sharing"",""นครนายก!J275"")"),50)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IFERROR(__xludf.DUMMYFUNCTION("IMPORTRANGE(""https://docs.google.com/spreadsheets/d/1SX6NBoVAgQJ6U1MVXOaj8PK2l7WJ3RER9xtqwdhxkhw/edit?usp=sharing"",""นครนายก!L275"")"),87710)</f>
        <v>87710</v>
      </c>
      <c r="M380" s="373"/>
      <c r="N380" s="373">
        <f ca="1">IFERROR(__xludf.DUMMYFUNCTION("IMPORTRANGE(""https://docs.google.com/spreadsheets/d/1SX6NBoVAgQJ6U1MVXOaj8PK2l7WJ3RER9xtqwdhxkhw/edit?usp=sharing"",""นครนายก!M275"")"),37700)</f>
        <v>37700</v>
      </c>
      <c r="O380" s="373">
        <f ca="1">+IF(L380&gt;0,N380*100/L380,0)</f>
        <v>42.982556150952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IFERROR(__xludf.DUMMYFUNCTION("IMPORTRANGE(""https://docs.google.com/spreadsheets/d/1SX6NBoVAgQJ6U1MVXOaj8PK2l7WJ3RER9xtqwdhxkhw/edit?usp=sharing"",""นครนายก!I276"")"),5)</f>
        <v>5</v>
      </c>
      <c r="J381" s="371">
        <f ca="1">IFERROR(__xludf.DUMMYFUNCTION("IMPORTRANGE(""https://docs.google.com/spreadsheets/d/1SX6NBoVAgQJ6U1MVXOaj8PK2l7WJ3RER9xtqwdhxkhw/edit?usp=sharing"",""นครนายก!J276"")"),6)</f>
        <v>6</v>
      </c>
      <c r="K381" s="372">
        <f t="shared" ca="1" si="108"/>
        <v>120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IFERROR(__xludf.DUMMYFUNCTION("IMPORTRANGE(""https://docs.google.com/spreadsheets/d/1SX6NBoVAgQJ6U1MVXOaj8PK2l7WJ3RER9xtqwdhxkhw/edit?usp=sharing"",""นครนายก!L277"")"),0)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IFERROR(__xludf.DUMMYFUNCTION("IMPORTRANGE(""https://docs.google.com/spreadsheets/d/1SX6NBoVAgQJ6U1MVXOaj8PK2l7WJ3RER9xtqwdhxkhw/edit?usp=sharing"",""นครนายก!M277"")"),0)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IFERROR(__xludf.DUMMYFUNCTION("IMPORTRANGE(""https://docs.google.com/spreadsheets/d/1SX6NBoVAgQJ6U1MVXOaj8PK2l7WJ3RER9xtqwdhxkhw/edit?usp=sharing"",""นครนายก!L278"")"),87710)</f>
        <v>87710</v>
      </c>
      <c r="M383" s="165"/>
      <c r="N383" s="165">
        <f ca="1">IFERROR(__xludf.DUMMYFUNCTION("IMPORTRANGE(""https://docs.google.com/spreadsheets/d/1SX6NBoVAgQJ6U1MVXOaj8PK2l7WJ3RER9xtqwdhxkhw/edit?usp=sharing"",""นครนายก!M278"")"),37700)</f>
        <v>37700</v>
      </c>
      <c r="O383" s="165">
        <f t="shared" ca="1" si="109"/>
        <v>42.982556150952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IFERROR(__xludf.DUMMYFUNCTION("IMPORTRANGE(""https://docs.google.com/spreadsheets/d/1SX6NBoVAgQJ6U1MVXOaj8PK2l7WJ3RER9xtqwdhxkhw/edit?usp=sharing"",""นครนายก!L279"")"),0)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IFERROR(__xludf.DUMMYFUNCTION("IMPORTRANGE(""https://docs.google.com/spreadsheets/d/1SX6NBoVAgQJ6U1MVXOaj8PK2l7WJ3RER9xtqwdhxkhw/edit?usp=sharing"",""นครนายก!M279"")"),0)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IFERROR(__xludf.DUMMYFUNCTION("IMPORTRANGE(""https://docs.google.com/spreadsheets/d/1SX6NBoVAgQJ6U1MVXOaj8PK2l7WJ3RER9xtqwdhxkhw/edit?usp=sharing"",""นครนายก!L280"")"),87710)</f>
        <v>87710</v>
      </c>
      <c r="M385" s="169"/>
      <c r="N385" s="168">
        <f ca="1">IFERROR(__xludf.DUMMYFUNCTION("IMPORTRANGE(""https://docs.google.com/spreadsheets/d/1SX6NBoVAgQJ6U1MVXOaj8PK2l7WJ3RER9xtqwdhxkhw/edit?usp=sharing"",""นครนายก!M280"")"),37700)</f>
        <v>37700</v>
      </c>
      <c r="O385" s="169">
        <f t="shared" ca="1" si="109"/>
        <v>42.982556150952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IFERROR(__xludf.DUMMYFUNCTION("IMPORTRANGE(""https://docs.google.com/spreadsheets/d/1SX6NBoVAgQJ6U1MVXOaj8PK2l7WJ3RER9xtqwdhxkhw/edit?usp=sharing"",""นครนายก!M281"")"),6450)</f>
        <v>6450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IFERROR(__xludf.DUMMYFUNCTION("IMPORTRANGE(""https://docs.google.com/spreadsheets/d/1SX6NBoVAgQJ6U1MVXOaj8PK2l7WJ3RER9xtqwdhxkhw/edit?usp=sharing"",""นครนายก!M282"")"),31250)</f>
        <v>31250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IFERROR(__xludf.DUMMYFUNCTION("IMPORTRANGE(""https://docs.google.com/spreadsheets/d/1SX6NBoVAgQJ6U1MVXOaj8PK2l7WJ3RER9xtqwdhxkhw/edit?usp=sharing"",""นครนายก!M283"")"),0)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IFERROR(__xludf.DUMMYFUNCTION("IMPORTRANGE(""https://docs.google.com/spreadsheets/d/1SX6NBoVAgQJ6U1MVXOaj8PK2l7WJ3RER9xtqwdhxkhw/edit?usp=sharing"",""นครนายก!M284"")"),0)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IFERROR(__xludf.DUMMYFUNCTION("IMPORTRANGE(""https://docs.google.com/spreadsheets/d/1SX6NBoVAgQJ6U1MVXOaj8PK2l7WJ3RER9xtqwdhxkhw/edit?usp=sharing"",""นครนายก!J286"")"),0)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IFERROR(__xludf.DUMMYFUNCTION("IMPORTRANGE(""https://docs.google.com/spreadsheets/d/1SX6NBoVAgQJ6U1MVXOaj8PK2l7WJ3RER9xtqwdhxkhw/edit?usp=sharing"",""นครนายก!J287"")"),1)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IFERROR(__xludf.DUMMYFUNCTION("IMPORTRANGE(""https://docs.google.com/spreadsheets/d/1SX6NBoVAgQJ6U1MVXOaj8PK2l7WJ3RER9xtqwdhxkhw/edit?usp=sharing"",""นครนายก!J288"")"),1)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IFERROR(__xludf.DUMMYFUNCTION("IMPORTRANGE(""https://docs.google.com/spreadsheets/d/1SX6NBoVAgQJ6U1MVXOaj8PK2l7WJ3RER9xtqwdhxkhw/edit?usp=sharing"",""นครนายก!J289"")"),1)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IFERROR(__xludf.DUMMYFUNCTION("IMPORTRANGE(""https://docs.google.com/spreadsheets/d/1SX6NBoVAgQJ6U1MVXOaj8PK2l7WJ3RER9xtqwdhxkhw/edit?usp=sharing"",""นครนายก!I291"")"),5)</f>
        <v>5</v>
      </c>
      <c r="J396" s="198">
        <f ca="1">IFERROR(__xludf.DUMMYFUNCTION("IMPORTRANGE(""https://docs.google.com/spreadsheets/d/1SX6NBoVAgQJ6U1MVXOaj8PK2l7WJ3RER9xtqwdhxkhw/edit?usp=sharing"",""นครนายก!J291"")"),6)</f>
        <v>6</v>
      </c>
      <c r="K396" s="163">
        <f t="shared" ref="K396:K398" ca="1" si="110">IF(I396&gt;0,J396*100/I396,0)</f>
        <v>120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IFERROR(__xludf.DUMMYFUNCTION("IMPORTRANGE(""https://docs.google.com/spreadsheets/d/1SX6NBoVAgQJ6U1MVXOaj8PK2l7WJ3RER9xtqwdhxkhw/edit?usp=sharing"",""นครนายก!I292"")"),50)</f>
        <v>50</v>
      </c>
      <c r="J397" s="198">
        <f ca="1">IFERROR(__xludf.DUMMYFUNCTION("IMPORTRANGE(""https://docs.google.com/spreadsheets/d/1SX6NBoVAgQJ6U1MVXOaj8PK2l7WJ3RER9xtqwdhxkhw/edit?usp=sharing"",""นครนายก!J292"")"),50)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IFERROR(__xludf.DUMMYFUNCTION("IMPORTRANGE(""https://docs.google.com/spreadsheets/d/1SX6NBoVAgQJ6U1MVXOaj8PK2l7WJ3RER9xtqwdhxkhw/edit?usp=sharing"",""นครนายก!I293"")"),5)</f>
        <v>5</v>
      </c>
      <c r="J398" s="198">
        <f ca="1">IFERROR(__xludf.DUMMYFUNCTION("IMPORTRANGE(""https://docs.google.com/spreadsheets/d/1SX6NBoVAgQJ6U1MVXOaj8PK2l7WJ3RER9xtqwdhxkhw/edit?usp=sharing"",""นครนายก!J293"")"),5)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IFERROR(__xludf.DUMMYFUNCTION("IMPORTRANGE(""https://docs.google.com/spreadsheets/d/1SX6NBoVAgQJ6U1MVXOaj8PK2l7WJ3RER9xtqwdhxkhw/edit?usp=sharing"",""นครนายก!J294"")"),0)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IFERROR(__xludf.DUMMYFUNCTION("IMPORTRANGE(""https://docs.google.com/spreadsheets/d/1SX6NBoVAgQJ6U1MVXOaj8PK2l7WJ3RER9xtqwdhxkhw/edit?usp=sharing"",""นครนายก!J295"")"),0)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IFERROR(__xludf.DUMMYFUNCTION("IMPORTRANGE(""https://docs.google.com/spreadsheets/d/1SX6NBoVAgQJ6U1MVXOaj8PK2l7WJ3RER9xtqwdhxkhw/edit?usp=sharing"",""นครนายก!I296"")"),204)</f>
        <v>204</v>
      </c>
      <c r="J401" s="371">
        <f ca="1">IFERROR(__xludf.DUMMYFUNCTION("IMPORTRANGE(""https://docs.google.com/spreadsheets/d/1SX6NBoVAgQJ6U1MVXOaj8PK2l7WJ3RER9xtqwdhxkhw/edit?usp=sharing"",""นครนายก!J296"")"),204)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IFERROR(__xludf.DUMMYFUNCTION("IMPORTRANGE(""https://docs.google.com/spreadsheets/d/1SX6NBoVAgQJ6U1MVXOaj8PK2l7WJ3RER9xtqwdhxkhw/edit?usp=sharing"",""นครนายก!L296"")"),229370)</f>
        <v>229370</v>
      </c>
      <c r="M401" s="373"/>
      <c r="N401" s="373">
        <f ca="1">IFERROR(__xludf.DUMMYFUNCTION("IMPORTRANGE(""https://docs.google.com/spreadsheets/d/1SX6NBoVAgQJ6U1MVXOaj8PK2l7WJ3RER9xtqwdhxkhw/edit?usp=sharing"",""นครนายก!M296"")"),103740)</f>
        <v>103740</v>
      </c>
      <c r="O401" s="373">
        <f ca="1">+IF(L401&gt;0,N401*100/L401,0)</f>
        <v>45.228233857958756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IFERROR(__xludf.DUMMYFUNCTION("IMPORTRANGE(""https://docs.google.com/spreadsheets/d/1SX6NBoVAgQJ6U1MVXOaj8PK2l7WJ3RER9xtqwdhxkhw/edit?usp=sharing"",""นครนายก!I297"")"),68)</f>
        <v>68</v>
      </c>
      <c r="J402" s="371">
        <f ca="1">IFERROR(__xludf.DUMMYFUNCTION("IMPORTRANGE(""https://docs.google.com/spreadsheets/d/1SX6NBoVAgQJ6U1MVXOaj8PK2l7WJ3RER9xtqwdhxkhw/edit?usp=sharing"",""นครนายก!J297"")"),38)</f>
        <v>38</v>
      </c>
      <c r="K402" s="372">
        <f t="shared" ca="1" si="111"/>
        <v>55.882352941176471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IFERROR(__xludf.DUMMYFUNCTION("IMPORTRANGE(""https://docs.google.com/spreadsheets/d/1SX6NBoVAgQJ6U1MVXOaj8PK2l7WJ3RER9xtqwdhxkhw/edit?usp=sharing"",""นครนายก!L298"")"),0)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IFERROR(__xludf.DUMMYFUNCTION("IMPORTRANGE(""https://docs.google.com/spreadsheets/d/1SX6NBoVAgQJ6U1MVXOaj8PK2l7WJ3RER9xtqwdhxkhw/edit?usp=sharing"",""นครนายก!M298"")"),0)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IFERROR(__xludf.DUMMYFUNCTION("IMPORTRANGE(""https://docs.google.com/spreadsheets/d/1SX6NBoVAgQJ6U1MVXOaj8PK2l7WJ3RER9xtqwdhxkhw/edit?usp=sharing"",""นครนายก!L299"")"),229370)</f>
        <v>229370</v>
      </c>
      <c r="M404" s="165"/>
      <c r="N404" s="169">
        <f ca="1">IFERROR(__xludf.DUMMYFUNCTION("IMPORTRANGE(""https://docs.google.com/spreadsheets/d/1SX6NBoVAgQJ6U1MVXOaj8PK2l7WJ3RER9xtqwdhxkhw/edit?usp=sharing"",""นครนายก!M299"")"),103740)</f>
        <v>103740</v>
      </c>
      <c r="O404" s="169">
        <f t="shared" ca="1" si="112"/>
        <v>45.228233857958756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IFERROR(__xludf.DUMMYFUNCTION("IMPORTRANGE(""https://docs.google.com/spreadsheets/d/1SX6NBoVAgQJ6U1MVXOaj8PK2l7WJ3RER9xtqwdhxkhw/edit?usp=sharing"",""นครนายก!L300"")"),0)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IFERROR(__xludf.DUMMYFUNCTION("IMPORTRANGE(""https://docs.google.com/spreadsheets/d/1SX6NBoVAgQJ6U1MVXOaj8PK2l7WJ3RER9xtqwdhxkhw/edit?usp=sharing"",""นครนายก!M300"")"),0)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IFERROR(__xludf.DUMMYFUNCTION("IMPORTRANGE(""https://docs.google.com/spreadsheets/d/1SX6NBoVAgQJ6U1MVXOaj8PK2l7WJ3RER9xtqwdhxkhw/edit?usp=sharing"",""นครนายก!L301"")"),229370)</f>
        <v>229370</v>
      </c>
      <c r="M406" s="169"/>
      <c r="N406" s="169">
        <f ca="1">IFERROR(__xludf.DUMMYFUNCTION("IMPORTRANGE(""https://docs.google.com/spreadsheets/d/1SX6NBoVAgQJ6U1MVXOaj8PK2l7WJ3RER9xtqwdhxkhw/edit?usp=sharing"",""นครนายก!M301"")"),103740)</f>
        <v>103740</v>
      </c>
      <c r="O406" s="169">
        <f t="shared" ca="1" si="112"/>
        <v>45.228233857958756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IFERROR(__xludf.DUMMYFUNCTION("IMPORTRANGE(""https://docs.google.com/spreadsheets/d/1SX6NBoVAgQJ6U1MVXOaj8PK2l7WJ3RER9xtqwdhxkhw/edit?usp=sharing"",""นครนายก!M302"")"),84830)</f>
        <v>84830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IFERROR(__xludf.DUMMYFUNCTION("IMPORTRANGE(""https://docs.google.com/spreadsheets/d/1SX6NBoVAgQJ6U1MVXOaj8PK2l7WJ3RER9xtqwdhxkhw/edit?usp=sharing"",""นครนายก!M303"")"),0)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IFERROR(__xludf.DUMMYFUNCTION("IMPORTRANGE(""https://docs.google.com/spreadsheets/d/1SX6NBoVAgQJ6U1MVXOaj8PK2l7WJ3RER9xtqwdhxkhw/edit?usp=sharing"",""นครนายก!M304"")"),0)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IFERROR(__xludf.DUMMYFUNCTION("IMPORTRANGE(""https://docs.google.com/spreadsheets/d/1SX6NBoVAgQJ6U1MVXOaj8PK2l7WJ3RER9xtqwdhxkhw/edit?usp=sharing"",""นครนายก!M305"")"),18910)</f>
        <v>18910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IFERROR(__xludf.DUMMYFUNCTION("IMPORTRANGE(""https://docs.google.com/spreadsheets/d/1SX6NBoVAgQJ6U1MVXOaj8PK2l7WJ3RER9xtqwdhxkhw/edit?usp=sharing"",""นครนายก!J307"")"),0)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IFERROR(__xludf.DUMMYFUNCTION("IMPORTRANGE(""https://docs.google.com/spreadsheets/d/1SX6NBoVAgQJ6U1MVXOaj8PK2l7WJ3RER9xtqwdhxkhw/edit?usp=sharing"",""นครนายก!J308"")"),1)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IFERROR(__xludf.DUMMYFUNCTION("IMPORTRANGE(""https://docs.google.com/spreadsheets/d/1SX6NBoVAgQJ6U1MVXOaj8PK2l7WJ3RER9xtqwdhxkhw/edit?usp=sharing"",""นครนายก!J309"")"),1)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IFERROR(__xludf.DUMMYFUNCTION("IMPORTRANGE(""https://docs.google.com/spreadsheets/d/1SX6NBoVAgQJ6U1MVXOaj8PK2l7WJ3RER9xtqwdhxkhw/edit?usp=sharing"",""นครนายก!J310"")"),1)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IFERROR(__xludf.DUMMYFUNCTION("IMPORTRANGE(""https://docs.google.com/spreadsheets/d/1SX6NBoVAgQJ6U1MVXOaj8PK2l7WJ3RER9xtqwdhxkhw/edit?usp=sharing"",""นครนายก!I311"")"),68)</f>
        <v>68</v>
      </c>
      <c r="J416" s="201">
        <f ca="1">IFERROR(__xludf.DUMMYFUNCTION("IMPORTRANGE(""https://docs.google.com/spreadsheets/d/1SX6NBoVAgQJ6U1MVXOaj8PK2l7WJ3RER9xtqwdhxkhw/edit?usp=sharing"",""นครนายก!J311"")"),38)</f>
        <v>38</v>
      </c>
      <c r="K416" s="202">
        <f t="shared" ref="K416:K432" ca="1" si="113">IF(I416&gt;0,J416*100/I416,0)</f>
        <v>55.882352941176471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IFERROR(__xludf.DUMMYFUNCTION("IMPORTRANGE(""https://docs.google.com/spreadsheets/d/1SX6NBoVAgQJ6U1MVXOaj8PK2l7WJ3RER9xtqwdhxkhw/edit?usp=sharing"",""นครนายก!I312"")"),30)</f>
        <v>30</v>
      </c>
      <c r="J417" s="392">
        <f ca="1">IFERROR(__xludf.DUMMYFUNCTION("IMPORTRANGE(""https://docs.google.com/spreadsheets/d/1SX6NBoVAgQJ6U1MVXOaj8PK2l7WJ3RER9xtqwdhxkhw/edit?usp=sharing"",""นครนายก!J312"")"),0)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IFERROR(__xludf.DUMMYFUNCTION("IMPORTRANGE(""https://docs.google.com/spreadsheets/d/1SX6NBoVAgQJ6U1MVXOaj8PK2l7WJ3RER9xtqwdhxkhw/edit?usp=sharing"",""นครนายก!I313"")"),90)</f>
        <v>90</v>
      </c>
      <c r="J418" s="393">
        <f ca="1">IFERROR(__xludf.DUMMYFUNCTION("IMPORTRANGE(""https://docs.google.com/spreadsheets/d/1SX6NBoVAgQJ6U1MVXOaj8PK2l7WJ3RER9xtqwdhxkhw/edit?usp=sharing"",""นครนายก!J313"")"),90)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IFERROR(__xludf.DUMMYFUNCTION("IMPORTRANGE(""https://docs.google.com/spreadsheets/d/1SX6NBoVAgQJ6U1MVXOaj8PK2l7WJ3RER9xtqwdhxkhw/edit?usp=sharing"",""นครนายก!I314"")"),30)</f>
        <v>30</v>
      </c>
      <c r="J419" s="394">
        <f ca="1">IFERROR(__xludf.DUMMYFUNCTION("IMPORTRANGE(""https://docs.google.com/spreadsheets/d/1SX6NBoVAgQJ6U1MVXOaj8PK2l7WJ3RER9xtqwdhxkhw/edit?usp=sharing"",""นครนายก!J314"")"),0)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IFERROR(__xludf.DUMMYFUNCTION("IMPORTRANGE(""https://docs.google.com/spreadsheets/d/1SX6NBoVAgQJ6U1MVXOaj8PK2l7WJ3RER9xtqwdhxkhw/edit?usp=sharing"",""นครนายก!I315"")"),30)</f>
        <v>30</v>
      </c>
      <c r="J420" s="394">
        <f ca="1">IFERROR(__xludf.DUMMYFUNCTION("IMPORTRANGE(""https://docs.google.com/spreadsheets/d/1SX6NBoVAgQJ6U1MVXOaj8PK2l7WJ3RER9xtqwdhxkhw/edit?usp=sharing"",""นครนายก!J315"")"),30)</f>
        <v>30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IFERROR(__xludf.DUMMYFUNCTION("IMPORTRANGE(""https://docs.google.com/spreadsheets/d/1SX6NBoVAgQJ6U1MVXOaj8PK2l7WJ3RER9xtqwdhxkhw/edit?usp=sharing"",""นครนายก!I316"")"),25)</f>
        <v>25</v>
      </c>
      <c r="J421" s="392">
        <f ca="1">IFERROR(__xludf.DUMMYFUNCTION("IMPORTRANGE(""https://docs.google.com/spreadsheets/d/1SX6NBoVAgQJ6U1MVXOaj8PK2l7WJ3RER9xtqwdhxkhw/edit?usp=sharing"",""นครนายก!J316"")"),25)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IFERROR(__xludf.DUMMYFUNCTION("IMPORTRANGE(""https://docs.google.com/spreadsheets/d/1SX6NBoVAgQJ6U1MVXOaj8PK2l7WJ3RER9xtqwdhxkhw/edit?usp=sharing"",""นครนายก!I317"")"),75)</f>
        <v>75</v>
      </c>
      <c r="J422" s="393">
        <f ca="1">IFERROR(__xludf.DUMMYFUNCTION("IMPORTRANGE(""https://docs.google.com/spreadsheets/d/1SX6NBoVAgQJ6U1MVXOaj8PK2l7WJ3RER9xtqwdhxkhw/edit?usp=sharing"",""นครนายก!J317"")"),75)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IFERROR(__xludf.DUMMYFUNCTION("IMPORTRANGE(""https://docs.google.com/spreadsheets/d/1SX6NBoVAgQJ6U1MVXOaj8PK2l7WJ3RER9xtqwdhxkhw/edit?usp=sharing"",""นครนายก!I318"")"),25)</f>
        <v>25</v>
      </c>
      <c r="J423" s="394">
        <f ca="1">IFERROR(__xludf.DUMMYFUNCTION("IMPORTRANGE(""https://docs.google.com/spreadsheets/d/1SX6NBoVAgQJ6U1MVXOaj8PK2l7WJ3RER9xtqwdhxkhw/edit?usp=sharing"",""นครนายก!J318"")"),25)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IFERROR(__xludf.DUMMYFUNCTION("IMPORTRANGE(""https://docs.google.com/spreadsheets/d/1SX6NBoVAgQJ6U1MVXOaj8PK2l7WJ3RER9xtqwdhxkhw/edit?usp=sharing"",""นครนายก!I319"")"),25)</f>
        <v>25</v>
      </c>
      <c r="J424" s="394">
        <f ca="1">IFERROR(__xludf.DUMMYFUNCTION("IMPORTRANGE(""https://docs.google.com/spreadsheets/d/1SX6NBoVAgQJ6U1MVXOaj8PK2l7WJ3RER9xtqwdhxkhw/edit?usp=sharing"",""นครนายก!J319"")"),25)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IFERROR(__xludf.DUMMYFUNCTION("IMPORTRANGE(""https://docs.google.com/spreadsheets/d/1SX6NBoVAgQJ6U1MVXOaj8PK2l7WJ3RER9xtqwdhxkhw/edit?usp=sharing"",""นครนายก!I320"")"),25)</f>
        <v>25</v>
      </c>
      <c r="J425" s="394">
        <f ca="1">IFERROR(__xludf.DUMMYFUNCTION("IMPORTRANGE(""https://docs.google.com/spreadsheets/d/1SX6NBoVAgQJ6U1MVXOaj8PK2l7WJ3RER9xtqwdhxkhw/edit?usp=sharing"",""นครนายก!J320"")"),25)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IFERROR(__xludf.DUMMYFUNCTION("IMPORTRANGE(""https://docs.google.com/spreadsheets/d/1SX6NBoVAgQJ6U1MVXOaj8PK2l7WJ3RER9xtqwdhxkhw/edit?usp=sharing"",""นครนายก!I321"")"),13)</f>
        <v>13</v>
      </c>
      <c r="J426" s="392">
        <f ca="1">IFERROR(__xludf.DUMMYFUNCTION("IMPORTRANGE(""https://docs.google.com/spreadsheets/d/1SX6NBoVAgQJ6U1MVXOaj8PK2l7WJ3RER9xtqwdhxkhw/edit?usp=sharing"",""นครนายก!J321"")"),13)</f>
        <v>13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IFERROR(__xludf.DUMMYFUNCTION("IMPORTRANGE(""https://docs.google.com/spreadsheets/d/1SX6NBoVAgQJ6U1MVXOaj8PK2l7WJ3RER9xtqwdhxkhw/edit?usp=sharing"",""นครนายก!I322"")"),39)</f>
        <v>39</v>
      </c>
      <c r="J427" s="393">
        <f ca="1">IFERROR(__xludf.DUMMYFUNCTION("IMPORTRANGE(""https://docs.google.com/spreadsheets/d/1SX6NBoVAgQJ6U1MVXOaj8PK2l7WJ3RER9xtqwdhxkhw/edit?usp=sharing"",""นครนายก!J322"")"),39)</f>
        <v>39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IFERROR(__xludf.DUMMYFUNCTION("IMPORTRANGE(""https://docs.google.com/spreadsheets/d/1SX6NBoVAgQJ6U1MVXOaj8PK2l7WJ3RER9xtqwdhxkhw/edit?usp=sharing"",""นครนายก!I323"")"),13)</f>
        <v>13</v>
      </c>
      <c r="J428" s="394">
        <f ca="1">IFERROR(__xludf.DUMMYFUNCTION("IMPORTRANGE(""https://docs.google.com/spreadsheets/d/1SX6NBoVAgQJ6U1MVXOaj8PK2l7WJ3RER9xtqwdhxkhw/edit?usp=sharing"",""นครนายก!J323"")"),13)</f>
        <v>13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IFERROR(__xludf.DUMMYFUNCTION("IMPORTRANGE(""https://docs.google.com/spreadsheets/d/1SX6NBoVAgQJ6U1MVXOaj8PK2l7WJ3RER9xtqwdhxkhw/edit?usp=sharing"",""นครนายก!I324"")"),13)</f>
        <v>13</v>
      </c>
      <c r="J429" s="394">
        <f ca="1">IFERROR(__xludf.DUMMYFUNCTION("IMPORTRANGE(""https://docs.google.com/spreadsheets/d/1SX6NBoVAgQJ6U1MVXOaj8PK2l7WJ3RER9xtqwdhxkhw/edit?usp=sharing"",""นครนายก!J324"")"),13)</f>
        <v>13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IFERROR(__xludf.DUMMYFUNCTION("IMPORTRANGE(""https://docs.google.com/spreadsheets/d/1SX6NBoVAgQJ6U1MVXOaj8PK2l7WJ3RER9xtqwdhxkhw/edit?usp=sharing"",""นครนายก!I325"")"),55)</f>
        <v>55</v>
      </c>
      <c r="J430" s="392">
        <f ca="1">IFERROR(__xludf.DUMMYFUNCTION("IMPORTRANGE(""https://docs.google.com/spreadsheets/d/1SX6NBoVAgQJ6U1MVXOaj8PK2l7WJ3RER9xtqwdhxkhw/edit?usp=sharing"",""นครนายก!J325"")"),0)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IFERROR(__xludf.DUMMYFUNCTION("IMPORTRANGE(""https://docs.google.com/spreadsheets/d/1SX6NBoVAgQJ6U1MVXOaj8PK2l7WJ3RER9xtqwdhxkhw/edit?usp=sharing"",""นครนายก!I326"")"),30)</f>
        <v>30</v>
      </c>
      <c r="J431" s="394">
        <f ca="1">IFERROR(__xludf.DUMMYFUNCTION("IMPORTRANGE(""https://docs.google.com/spreadsheets/d/1SX6NBoVAgQJ6U1MVXOaj8PK2l7WJ3RER9xtqwdhxkhw/edit?usp=sharing"",""นครนายก!J326"")"),0)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IFERROR(__xludf.DUMMYFUNCTION("IMPORTRANGE(""https://docs.google.com/spreadsheets/d/1SX6NBoVAgQJ6U1MVXOaj8PK2l7WJ3RER9xtqwdhxkhw/edit?usp=sharing"",""นครนายก!I327"")"),25)</f>
        <v>25</v>
      </c>
      <c r="J432" s="394">
        <f ca="1">IFERROR(__xludf.DUMMYFUNCTION("IMPORTRANGE(""https://docs.google.com/spreadsheets/d/1SX6NBoVAgQJ6U1MVXOaj8PK2l7WJ3RER9xtqwdhxkhw/edit?usp=sharing"",""นครนายก!J327"")"),25)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IFERROR(__xludf.DUMMYFUNCTION("IMPORTRANGE(""https://docs.google.com/spreadsheets/d/1SX6NBoVAgQJ6U1MVXOaj8PK2l7WJ3RER9xtqwdhxkhw/edit?usp=sharing"",""นครนายก!J328"")"),0)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IFERROR(__xludf.DUMMYFUNCTION("IMPORTRANGE(""https://docs.google.com/spreadsheets/d/1SX6NBoVAgQJ6U1MVXOaj8PK2l7WJ3RER9xtqwdhxkhw/edit?usp=sharing"",""นครนายก!J329"")"),0)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IFERROR(__xludf.DUMMYFUNCTION("IMPORTRANGE(""https://docs.google.com/spreadsheets/d/1SX6NBoVAgQJ6U1MVXOaj8PK2l7WJ3RER9xtqwdhxkhw/edit?usp=sharing"",""นครนายก!I330"")"),84)</f>
        <v>84</v>
      </c>
      <c r="J435" s="410">
        <f ca="1">IFERROR(__xludf.DUMMYFUNCTION("IMPORTRANGE(""https://docs.google.com/spreadsheets/d/1SX6NBoVAgQJ6U1MVXOaj8PK2l7WJ3RER9xtqwdhxkhw/edit?usp=sharing"",""นครนายก!J330"")"),84)</f>
        <v>84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IFERROR(__xludf.DUMMYFUNCTION("IMPORTRANGE(""https://docs.google.com/spreadsheets/d/1SX6NBoVAgQJ6U1MVXOaj8PK2l7WJ3RER9xtqwdhxkhw/edit?usp=sharing"",""นครนายก!L330"")"),230000)</f>
        <v>230000</v>
      </c>
      <c r="M435" s="412"/>
      <c r="N435" s="412">
        <f ca="1">IFERROR(__xludf.DUMMYFUNCTION("IMPORTRANGE(""https://docs.google.com/spreadsheets/d/1SX6NBoVAgQJ6U1MVXOaj8PK2l7WJ3RER9xtqwdhxkhw/edit?usp=sharing"",""นครนายก!M330"")"),54450)</f>
        <v>54450</v>
      </c>
      <c r="O435" s="412">
        <f t="shared" ref="O435:O439" ca="1" si="114">+IF(L435&gt;0,N435*100/L435,0)</f>
        <v>23.673913043478262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IFERROR(__xludf.DUMMYFUNCTION("IMPORTRANGE(""https://docs.google.com/spreadsheets/d/1SX6NBoVAgQJ6U1MVXOaj8PK2l7WJ3RER9xtqwdhxkhw/edit?usp=sharing"",""นครนายก!L331"")"),0)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IFERROR(__xludf.DUMMYFUNCTION("IMPORTRANGE(""https://docs.google.com/spreadsheets/d/1SX6NBoVAgQJ6U1MVXOaj8PK2l7WJ3RER9xtqwdhxkhw/edit?usp=sharing"",""นครนายก!M331"")"),0)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IFERROR(__xludf.DUMMYFUNCTION("IMPORTRANGE(""https://docs.google.com/spreadsheets/d/1SX6NBoVAgQJ6U1MVXOaj8PK2l7WJ3RER9xtqwdhxkhw/edit?usp=sharing"",""นครนายก!L332"")"),230000)</f>
        <v>230000</v>
      </c>
      <c r="M437" s="165"/>
      <c r="N437" s="169">
        <f ca="1">IFERROR(__xludf.DUMMYFUNCTION("IMPORTRANGE(""https://docs.google.com/spreadsheets/d/1SX6NBoVAgQJ6U1MVXOaj8PK2l7WJ3RER9xtqwdhxkhw/edit?usp=sharing"",""นครนายก!M332"")"),54450)</f>
        <v>54450</v>
      </c>
      <c r="O437" s="169">
        <f t="shared" ca="1" si="114"/>
        <v>23.673913043478262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IFERROR(__xludf.DUMMYFUNCTION("IMPORTRANGE(""https://docs.google.com/spreadsheets/d/1SX6NBoVAgQJ6U1MVXOaj8PK2l7WJ3RER9xtqwdhxkhw/edit?usp=sharing"",""นครนายก!L333"")"),0)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IFERROR(__xludf.DUMMYFUNCTION("IMPORTRANGE(""https://docs.google.com/spreadsheets/d/1SX6NBoVAgQJ6U1MVXOaj8PK2l7WJ3RER9xtqwdhxkhw/edit?usp=sharing"",""นครนายก!M333"")"),0)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IFERROR(__xludf.DUMMYFUNCTION("IMPORTRANGE(""https://docs.google.com/spreadsheets/d/1SX6NBoVAgQJ6U1MVXOaj8PK2l7WJ3RER9xtqwdhxkhw/edit?usp=sharing"",""นครนายก!L334"")"),230000)</f>
        <v>230000</v>
      </c>
      <c r="M439" s="169"/>
      <c r="N439" s="169">
        <f ca="1">IFERROR(__xludf.DUMMYFUNCTION("IMPORTRANGE(""https://docs.google.com/spreadsheets/d/1SX6NBoVAgQJ6U1MVXOaj8PK2l7WJ3RER9xtqwdhxkhw/edit?usp=sharing"",""นครนายก!M334"")"),54450)</f>
        <v>54450</v>
      </c>
      <c r="O439" s="169">
        <f t="shared" ca="1" si="114"/>
        <v>23.673913043478262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IFERROR(__xludf.DUMMYFUNCTION("IMPORTRANGE(""https://docs.google.com/spreadsheets/d/1SX6NBoVAgQJ6U1MVXOaj8PK2l7WJ3RER9xtqwdhxkhw/edit?usp=sharing"",""นครนายก!M335"")"),54450)</f>
        <v>54450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IFERROR(__xludf.DUMMYFUNCTION("IMPORTRANGE(""https://docs.google.com/spreadsheets/d/1SX6NBoVAgQJ6U1MVXOaj8PK2l7WJ3RER9xtqwdhxkhw/edit?usp=sharing"",""นครนายก!M336"")"),0)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IFERROR(__xludf.DUMMYFUNCTION("IMPORTRANGE(""https://docs.google.com/spreadsheets/d/1SX6NBoVAgQJ6U1MVXOaj8PK2l7WJ3RER9xtqwdhxkhw/edit?usp=sharing"",""นครนายก!M337"")"),0)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IFERROR(__xludf.DUMMYFUNCTION("IMPORTRANGE(""https://docs.google.com/spreadsheets/d/1SX6NBoVAgQJ6U1MVXOaj8PK2l7WJ3RER9xtqwdhxkhw/edit?usp=sharing"",""นครนายก!M338"")"),0)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IFERROR(__xludf.DUMMYFUNCTION("IMPORTRANGE(""https://docs.google.com/spreadsheets/d/1SX6NBoVAgQJ6U1MVXOaj8PK2l7WJ3RER9xtqwdhxkhw/edit?usp=sharing"",""นครนายก!J340"")"),0)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IFERROR(__xludf.DUMMYFUNCTION("IMPORTRANGE(""https://docs.google.com/spreadsheets/d/1SX6NBoVAgQJ6U1MVXOaj8PK2l7WJ3RER9xtqwdhxkhw/edit?usp=sharing"",""นครนายก!J341"")"),1)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IFERROR(__xludf.DUMMYFUNCTION("IMPORTRANGE(""https://docs.google.com/spreadsheets/d/1SX6NBoVAgQJ6U1MVXOaj8PK2l7WJ3RER9xtqwdhxkhw/edit?usp=sharing"",""นครนายก!J342"")"),1)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IFERROR(__xludf.DUMMYFUNCTION("IMPORTRANGE(""https://docs.google.com/spreadsheets/d/1SX6NBoVAgQJ6U1MVXOaj8PK2l7WJ3RER9xtqwdhxkhw/edit?usp=sharing"",""นครนายก!J343"")"),1)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IFERROR(__xludf.DUMMYFUNCTION("IMPORTRANGE(""https://docs.google.com/spreadsheets/d/1SX6NBoVAgQJ6U1MVXOaj8PK2l7WJ3RER9xtqwdhxkhw/edit?usp=sharing"",""นครนายก!I344"")"),84)</f>
        <v>84</v>
      </c>
      <c r="J449" s="201">
        <f ca="1">IFERROR(__xludf.DUMMYFUNCTION("IMPORTRANGE(""https://docs.google.com/spreadsheets/d/1SX6NBoVAgQJ6U1MVXOaj8PK2l7WJ3RER9xtqwdhxkhw/edit?usp=sharing"",""นครนายก!J344"")"),84)</f>
        <v>84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IFERROR(__xludf.DUMMYFUNCTION("IMPORTRANGE(""https://docs.google.com/spreadsheets/d/1SX6NBoVAgQJ6U1MVXOaj8PK2l7WJ3RER9xtqwdhxkhw/edit?usp=sharing"",""นครนายก!I345"")"),24)</f>
        <v>24</v>
      </c>
      <c r="J450" s="189">
        <f ca="1">IFERROR(__xludf.DUMMYFUNCTION("IMPORTRANGE(""https://docs.google.com/spreadsheets/d/1SX6NBoVAgQJ6U1MVXOaj8PK2l7WJ3RER9xtqwdhxkhw/edit?usp=sharing"",""นครนายก!J345"")"),24)</f>
        <v>24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IFERROR(__xludf.DUMMYFUNCTION("IMPORTRANGE(""https://docs.google.com/spreadsheets/d/1SX6NBoVAgQJ6U1MVXOaj8PK2l7WJ3RER9xtqwdhxkhw/edit?usp=sharing"",""นครนายก!I346"")"),60)</f>
        <v>60</v>
      </c>
      <c r="J451" s="188">
        <f ca="1">IFERROR(__xludf.DUMMYFUNCTION("IMPORTRANGE(""https://docs.google.com/spreadsheets/d/1SX6NBoVAgQJ6U1MVXOaj8PK2l7WJ3RER9xtqwdhxkhw/edit?usp=sharing"",""นครนายก!J346"")"),60)</f>
        <v>60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IFERROR(__xludf.DUMMYFUNCTION("IMPORTRANGE(""https://docs.google.com/spreadsheets/d/1SX6NBoVAgQJ6U1MVXOaj8PK2l7WJ3RER9xtqwdhxkhw/edit?usp=sharing"",""นครนายก!I347"")"),0)</f>
        <v>0</v>
      </c>
      <c r="J452" s="188">
        <f ca="1">IFERROR(__xludf.DUMMYFUNCTION("IMPORTRANGE(""https://docs.google.com/spreadsheets/d/1SX6NBoVAgQJ6U1MVXOaj8PK2l7WJ3RER9xtqwdhxkhw/edit?usp=sharing"",""นครนายก!J347"")"),0)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IFERROR(__xludf.DUMMYFUNCTION("IMPORTRANGE(""https://docs.google.com/spreadsheets/d/1SX6NBoVAgQJ6U1MVXOaj8PK2l7WJ3RER9xtqwdhxkhw/edit?usp=sharing"",""นครนายก!J348"")"),0)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IFERROR(__xludf.DUMMYFUNCTION("IMPORTRANGE(""https://docs.google.com/spreadsheets/d/1SX6NBoVAgQJ6U1MVXOaj8PK2l7WJ3RER9xtqwdhxkhw/edit?usp=sharing"",""นครนายก!J349"")"),0)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IFERROR(__xludf.DUMMYFUNCTION("IMPORTRANGE(""https://docs.google.com/spreadsheets/d/1SX6NBoVAgQJ6U1MVXOaj8PK2l7WJ3RER9xtqwdhxkhw/edit?usp=sharing"",""นครนายก!I350"")"),0)</f>
        <v>0</v>
      </c>
      <c r="J455" s="371">
        <f ca="1">IFERROR(__xludf.DUMMYFUNCTION("IMPORTRANGE(""https://docs.google.com/spreadsheets/d/1SX6NBoVAgQJ6U1MVXOaj8PK2l7WJ3RER9xtqwdhxkhw/edit?usp=sharing"",""นครนายก!J350"")"),0)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IFERROR(__xludf.DUMMYFUNCTION("IMPORTRANGE(""https://docs.google.com/spreadsheets/d/1SX6NBoVAgQJ6U1MVXOaj8PK2l7WJ3RER9xtqwdhxkhw/edit?usp=sharing"",""นครนายก!L350"")"),0)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IFERROR(__xludf.DUMMYFUNCTION("IMPORTRANGE(""https://docs.google.com/spreadsheets/d/1SX6NBoVAgQJ6U1MVXOaj8PK2l7WJ3RER9xtqwdhxkhw/edit?usp=sharing"",""นครนายก!M350"")"),0)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IFERROR(__xludf.DUMMYFUNCTION("IMPORTRANGE(""https://docs.google.com/spreadsheets/d/1SX6NBoVAgQJ6U1MVXOaj8PK2l7WJ3RER9xtqwdhxkhw/edit?usp=sharing"",""นครนายก!L351"")"),0)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IFERROR(__xludf.DUMMYFUNCTION("IMPORTRANGE(""https://docs.google.com/spreadsheets/d/1SX6NBoVAgQJ6U1MVXOaj8PK2l7WJ3RER9xtqwdhxkhw/edit?usp=sharing"",""นครนายก!M351"")"),0)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IFERROR(__xludf.DUMMYFUNCTION("IMPORTRANGE(""https://docs.google.com/spreadsheets/d/1SX6NBoVAgQJ6U1MVXOaj8PK2l7WJ3RER9xtqwdhxkhw/edit?usp=sharing"",""นครนายก!L352"")"),0)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IFERROR(__xludf.DUMMYFUNCTION("IMPORTRANGE(""https://docs.google.com/spreadsheets/d/1SX6NBoVAgQJ6U1MVXOaj8PK2l7WJ3RER9xtqwdhxkhw/edit?usp=sharing"",""นครนายก!M352"")"),0)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IFERROR(__xludf.DUMMYFUNCTION("IMPORTRANGE(""https://docs.google.com/spreadsheets/d/1SX6NBoVAgQJ6U1MVXOaj8PK2l7WJ3RER9xtqwdhxkhw/edit?usp=sharing"",""นครนายก!L353"")"),0)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IFERROR(__xludf.DUMMYFUNCTION("IMPORTRANGE(""https://docs.google.com/spreadsheets/d/1SX6NBoVAgQJ6U1MVXOaj8PK2l7WJ3RER9xtqwdhxkhw/edit?usp=sharing"",""นครนายก!M353"")"),0)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IFERROR(__xludf.DUMMYFUNCTION("IMPORTRANGE(""https://docs.google.com/spreadsheets/d/1SX6NBoVAgQJ6U1MVXOaj8PK2l7WJ3RER9xtqwdhxkhw/edit?usp=sharing"",""นครนายก!L354"")"),0)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IFERROR(__xludf.DUMMYFUNCTION("IMPORTRANGE(""https://docs.google.com/spreadsheets/d/1SX6NBoVAgQJ6U1MVXOaj8PK2l7WJ3RER9xtqwdhxkhw/edit?usp=sharing"",""นครนายก!M354"")"),0)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IFERROR(__xludf.DUMMYFUNCTION("IMPORTRANGE(""https://docs.google.com/spreadsheets/d/1SX6NBoVAgQJ6U1MVXOaj8PK2l7WJ3RER9xtqwdhxkhw/edit?usp=sharing"",""นครนายก!M355"")"),0)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IFERROR(__xludf.DUMMYFUNCTION("IMPORTRANGE(""https://docs.google.com/spreadsheets/d/1SX6NBoVAgQJ6U1MVXOaj8PK2l7WJ3RER9xtqwdhxkhw/edit?usp=sharing"",""นครนายก!M356"")"),0)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IFERROR(__xludf.DUMMYFUNCTION("IMPORTRANGE(""https://docs.google.com/spreadsheets/d/1SX6NBoVAgQJ6U1MVXOaj8PK2l7WJ3RER9xtqwdhxkhw/edit?usp=sharing"",""นครนายก!M357"")"),0)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IFERROR(__xludf.DUMMYFUNCTION("IMPORTRANGE(""https://docs.google.com/spreadsheets/d/1SX6NBoVAgQJ6U1MVXOaj8PK2l7WJ3RER9xtqwdhxkhw/edit?usp=sharing"",""นครนายก!M358"")"),0)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IFERROR(__xludf.DUMMYFUNCTION("IMPORTRANGE(""https://docs.google.com/spreadsheets/d/1SX6NBoVAgQJ6U1MVXOaj8PK2l7WJ3RER9xtqwdhxkhw/edit?usp=sharing"",""นครนายก!I359"")"),0)</f>
        <v>0</v>
      </c>
      <c r="J464" s="267">
        <f ca="1">IFERROR(__xludf.DUMMYFUNCTION("IMPORTRANGE(""https://docs.google.com/spreadsheets/d/1SX6NBoVAgQJ6U1MVXOaj8PK2l7WJ3RER9xtqwdhxkhw/edit?usp=sharing"",""นครนายก!J359"")"),0)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IFERROR(__xludf.DUMMYFUNCTION("IMPORTRANGE(""https://docs.google.com/spreadsheets/d/1SX6NBoVAgQJ6U1MVXOaj8PK2l7WJ3RER9xtqwdhxkhw/edit?usp=sharing"",""นครนายก!I360"")"),0)</f>
        <v>0</v>
      </c>
      <c r="J465" s="420">
        <f ca="1">IFERROR(__xludf.DUMMYFUNCTION("IMPORTRANGE(""https://docs.google.com/spreadsheets/d/1SX6NBoVAgQJ6U1MVXOaj8PK2l7WJ3RER9xtqwdhxkhw/edit?usp=sharing"",""นครนายก!J360"")"),0)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IFERROR(__xludf.DUMMYFUNCTION("IMPORTRANGE(""https://docs.google.com/spreadsheets/d/1SX6NBoVAgQJ6U1MVXOaj8PK2l7WJ3RER9xtqwdhxkhw/edit?usp=sharing"",""นครนายก!I361"")"),0)</f>
        <v>0</v>
      </c>
      <c r="J466" s="420">
        <f ca="1">IFERROR(__xludf.DUMMYFUNCTION("IMPORTRANGE(""https://docs.google.com/spreadsheets/d/1SX6NBoVAgQJ6U1MVXOaj8PK2l7WJ3RER9xtqwdhxkhw/edit?usp=sharing"",""นครนายก!J361"")"),0)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IFERROR(__xludf.DUMMYFUNCTION("IMPORTRANGE(""https://docs.google.com/spreadsheets/d/1SX6NBoVAgQJ6U1MVXOaj8PK2l7WJ3RER9xtqwdhxkhw/edit?usp=sharing"",""นครนายก!I362"")"),0)</f>
        <v>0</v>
      </c>
      <c r="J467" s="189">
        <f ca="1">IFERROR(__xludf.DUMMYFUNCTION("IMPORTRANGE(""https://docs.google.com/spreadsheets/d/1SX6NBoVAgQJ6U1MVXOaj8PK2l7WJ3RER9xtqwdhxkhw/edit?usp=sharing"",""นครนายก!J362"")"),0)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IFERROR(__xludf.DUMMYFUNCTION("IMPORTRANGE(""https://docs.google.com/spreadsheets/d/1SX6NBoVAgQJ6U1MVXOaj8PK2l7WJ3RER9xtqwdhxkhw/edit?usp=sharing"",""นครนายก!I363"")"),0)</f>
        <v>0</v>
      </c>
      <c r="J468" s="189">
        <f ca="1">IFERROR(__xludf.DUMMYFUNCTION("IMPORTRANGE(""https://docs.google.com/spreadsheets/d/1SX6NBoVAgQJ6U1MVXOaj8PK2l7WJ3RER9xtqwdhxkhw/edit?usp=sharing"",""นครนายก!J363"")"),0)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IFERROR(__xludf.DUMMYFUNCTION("IMPORTRANGE(""https://docs.google.com/spreadsheets/d/1SX6NBoVAgQJ6U1MVXOaj8PK2l7WJ3RER9xtqwdhxkhw/edit?usp=sharing"",""นครนายก!I364"")"),0)</f>
        <v>0</v>
      </c>
      <c r="J469" s="189">
        <f ca="1">IFERROR(__xludf.DUMMYFUNCTION("IMPORTRANGE(""https://docs.google.com/spreadsheets/d/1SX6NBoVAgQJ6U1MVXOaj8PK2l7WJ3RER9xtqwdhxkhw/edit?usp=sharing"",""นครนายก!J364"")"),0)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IFERROR(__xludf.DUMMYFUNCTION("IMPORTRANGE(""https://docs.google.com/spreadsheets/d/1SX6NBoVAgQJ6U1MVXOaj8PK2l7WJ3RER9xtqwdhxkhw/edit?usp=sharing"",""นครนายก!I365"")"),0)</f>
        <v>0</v>
      </c>
      <c r="J470" s="189">
        <f ca="1">IFERROR(__xludf.DUMMYFUNCTION("IMPORTRANGE(""https://docs.google.com/spreadsheets/d/1SX6NBoVAgQJ6U1MVXOaj8PK2l7WJ3RER9xtqwdhxkhw/edit?usp=sharing"",""นครนายก!J365"")"),0)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IFERROR(__xludf.DUMMYFUNCTION("IMPORTRANGE(""https://docs.google.com/spreadsheets/d/1SX6NBoVAgQJ6U1MVXOaj8PK2l7WJ3RER9xtqwdhxkhw/edit?usp=sharing"",""นครนายก!I366"")"),0)</f>
        <v>0</v>
      </c>
      <c r="J471" s="189">
        <f ca="1">IFERROR(__xludf.DUMMYFUNCTION("IMPORTRANGE(""https://docs.google.com/spreadsheets/d/1SX6NBoVAgQJ6U1MVXOaj8PK2l7WJ3RER9xtqwdhxkhw/edit?usp=sharing"",""นครนายก!J366"")"),0)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IFERROR(__xludf.DUMMYFUNCTION("IMPORTRANGE(""https://docs.google.com/spreadsheets/d/1SX6NBoVAgQJ6U1MVXOaj8PK2l7WJ3RER9xtqwdhxkhw/edit?usp=sharing"",""นครนายก!I367"")"),0)</f>
        <v>0</v>
      </c>
      <c r="J472" s="189">
        <f ca="1">IFERROR(__xludf.DUMMYFUNCTION("IMPORTRANGE(""https://docs.google.com/spreadsheets/d/1SX6NBoVAgQJ6U1MVXOaj8PK2l7WJ3RER9xtqwdhxkhw/edit?usp=sharing"",""นครนายก!J367"")"),0)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IFERROR(__xludf.DUMMYFUNCTION("IMPORTRANGE(""https://docs.google.com/spreadsheets/d/1SX6NBoVAgQJ6U1MVXOaj8PK2l7WJ3RER9xtqwdhxkhw/edit?usp=sharing"",""นครนายก!I368"")"),0)</f>
        <v>0</v>
      </c>
      <c r="J473" s="420">
        <f ca="1">IFERROR(__xludf.DUMMYFUNCTION("IMPORTRANGE(""https://docs.google.com/spreadsheets/d/1SX6NBoVAgQJ6U1MVXOaj8PK2l7WJ3RER9xtqwdhxkhw/edit?usp=sharing"",""นครนายก!J368"")"),0)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IFERROR(__xludf.DUMMYFUNCTION("IMPORTRANGE(""https://docs.google.com/spreadsheets/d/1SX6NBoVAgQJ6U1MVXOaj8PK2l7WJ3RER9xtqwdhxkhw/edit?usp=sharing"",""นครนายก!I369"")"),0)</f>
        <v>0</v>
      </c>
      <c r="J474" s="420">
        <f ca="1">IFERROR(__xludf.DUMMYFUNCTION("IMPORTRANGE(""https://docs.google.com/spreadsheets/d/1SX6NBoVAgQJ6U1MVXOaj8PK2l7WJ3RER9xtqwdhxkhw/edit?usp=sharing"",""นครนายก!J369"")"),0)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IFERROR(__xludf.DUMMYFUNCTION("IMPORTRANGE(""https://docs.google.com/spreadsheets/d/1SX6NBoVAgQJ6U1MVXOaj8PK2l7WJ3RER9xtqwdhxkhw/edit?usp=sharing"",""นครนายก!I370"")"),0)</f>
        <v>0</v>
      </c>
      <c r="J475" s="189">
        <f ca="1">IFERROR(__xludf.DUMMYFUNCTION("IMPORTRANGE(""https://docs.google.com/spreadsheets/d/1SX6NBoVAgQJ6U1MVXOaj8PK2l7WJ3RER9xtqwdhxkhw/edit?usp=sharing"",""นครนายก!J370"")"),0)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IFERROR(__xludf.DUMMYFUNCTION("IMPORTRANGE(""https://docs.google.com/spreadsheets/d/1SX6NBoVAgQJ6U1MVXOaj8PK2l7WJ3RER9xtqwdhxkhw/edit?usp=sharing"",""นครนายก!I371"")"),0)</f>
        <v>0</v>
      </c>
      <c r="J476" s="189">
        <f ca="1">IFERROR(__xludf.DUMMYFUNCTION("IMPORTRANGE(""https://docs.google.com/spreadsheets/d/1SX6NBoVAgQJ6U1MVXOaj8PK2l7WJ3RER9xtqwdhxkhw/edit?usp=sharing"",""นครนายก!J371"")"),0)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IFERROR(__xludf.DUMMYFUNCTION("IMPORTRANGE(""https://docs.google.com/spreadsheets/d/1SX6NBoVAgQJ6U1MVXOaj8PK2l7WJ3RER9xtqwdhxkhw/edit?usp=sharing"",""นครนายก!I372"")"),0)</f>
        <v>0</v>
      </c>
      <c r="J477" s="189">
        <f ca="1">IFERROR(__xludf.DUMMYFUNCTION("IMPORTRANGE(""https://docs.google.com/spreadsheets/d/1SX6NBoVAgQJ6U1MVXOaj8PK2l7WJ3RER9xtqwdhxkhw/edit?usp=sharing"",""นครนายก!J372"")"),0)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IFERROR(__xludf.DUMMYFUNCTION("IMPORTRANGE(""https://docs.google.com/spreadsheets/d/1SX6NBoVAgQJ6U1MVXOaj8PK2l7WJ3RER9xtqwdhxkhw/edit?usp=sharing"",""นครนายก!I373"")"),0)</f>
        <v>0</v>
      </c>
      <c r="J478" s="189">
        <f ca="1">IFERROR(__xludf.DUMMYFUNCTION("IMPORTRANGE(""https://docs.google.com/spreadsheets/d/1SX6NBoVAgQJ6U1MVXOaj8PK2l7WJ3RER9xtqwdhxkhw/edit?usp=sharing"",""นครนายก!J373"")"),0)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IFERROR(__xludf.DUMMYFUNCTION("IMPORTRANGE(""https://docs.google.com/spreadsheets/d/1SX6NBoVAgQJ6U1MVXOaj8PK2l7WJ3RER9xtqwdhxkhw/edit?usp=sharing"",""นครนายก!I374"")"),0)</f>
        <v>0</v>
      </c>
      <c r="J479" s="189">
        <f ca="1">IFERROR(__xludf.DUMMYFUNCTION("IMPORTRANGE(""https://docs.google.com/spreadsheets/d/1SX6NBoVAgQJ6U1MVXOaj8PK2l7WJ3RER9xtqwdhxkhw/edit?usp=sharing"",""นครนายก!J374"")"),0)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IFERROR(__xludf.DUMMYFUNCTION("IMPORTRANGE(""https://docs.google.com/spreadsheets/d/1SX6NBoVAgQJ6U1MVXOaj8PK2l7WJ3RER9xtqwdhxkhw/edit?usp=sharing"",""นครนายก!I375"")"),0)</f>
        <v>0</v>
      </c>
      <c r="J480" s="189">
        <f ca="1">IFERROR(__xludf.DUMMYFUNCTION("IMPORTRANGE(""https://docs.google.com/spreadsheets/d/1SX6NBoVAgQJ6U1MVXOaj8PK2l7WJ3RER9xtqwdhxkhw/edit?usp=sharing"",""นครนายก!J375"")"),0)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IFERROR(__xludf.DUMMYFUNCTION("IMPORTRANGE(""https://docs.google.com/spreadsheets/d/1SX6NBoVAgQJ6U1MVXOaj8PK2l7WJ3RER9xtqwdhxkhw/edit?usp=sharing"",""นครนายก!I376"")"),0)</f>
        <v>0</v>
      </c>
      <c r="J481" s="420">
        <f ca="1">IFERROR(__xludf.DUMMYFUNCTION("IMPORTRANGE(""https://docs.google.com/spreadsheets/d/1SX6NBoVAgQJ6U1MVXOaj8PK2l7WJ3RER9xtqwdhxkhw/edit?usp=sharing"",""นครนายก!J376"")"),0)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IFERROR(__xludf.DUMMYFUNCTION("IMPORTRANGE(""https://docs.google.com/spreadsheets/d/1SX6NBoVAgQJ6U1MVXOaj8PK2l7WJ3RER9xtqwdhxkhw/edit?usp=sharing"",""นครนายก!I377"")"),0)</f>
        <v>0</v>
      </c>
      <c r="J482" s="420">
        <f ca="1">IFERROR(__xludf.DUMMYFUNCTION("IMPORTRANGE(""https://docs.google.com/spreadsheets/d/1SX6NBoVAgQJ6U1MVXOaj8PK2l7WJ3RER9xtqwdhxkhw/edit?usp=sharing"",""นครนายก!J377"")"),0)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IFERROR(__xludf.DUMMYFUNCTION("IMPORTRANGE(""https://docs.google.com/spreadsheets/d/1SX6NBoVAgQJ6U1MVXOaj8PK2l7WJ3RER9xtqwdhxkhw/edit?usp=sharing"",""นครนายก!I378"")"),0)</f>
        <v>0</v>
      </c>
      <c r="J483" s="189">
        <f ca="1">IFERROR(__xludf.DUMMYFUNCTION("IMPORTRANGE(""https://docs.google.com/spreadsheets/d/1SX6NBoVAgQJ6U1MVXOaj8PK2l7WJ3RER9xtqwdhxkhw/edit?usp=sharing"",""นครนายก!J378"")"),0)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IFERROR(__xludf.DUMMYFUNCTION("IMPORTRANGE(""https://docs.google.com/spreadsheets/d/1SX6NBoVAgQJ6U1MVXOaj8PK2l7WJ3RER9xtqwdhxkhw/edit?usp=sharing"",""นครนายก!I379"")"),0)</f>
        <v>0</v>
      </c>
      <c r="J484" s="189">
        <f ca="1">IFERROR(__xludf.DUMMYFUNCTION("IMPORTRANGE(""https://docs.google.com/spreadsheets/d/1SX6NBoVAgQJ6U1MVXOaj8PK2l7WJ3RER9xtqwdhxkhw/edit?usp=sharing"",""นครนายก!J379"")"),0)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IFERROR(__xludf.DUMMYFUNCTION("IMPORTRANGE(""https://docs.google.com/spreadsheets/d/1SX6NBoVAgQJ6U1MVXOaj8PK2l7WJ3RER9xtqwdhxkhw/edit?usp=sharing"",""นครนายก!I380"")"),0)</f>
        <v>0</v>
      </c>
      <c r="J485" s="189">
        <f ca="1">IFERROR(__xludf.DUMMYFUNCTION("IMPORTRANGE(""https://docs.google.com/spreadsheets/d/1SX6NBoVAgQJ6U1MVXOaj8PK2l7WJ3RER9xtqwdhxkhw/edit?usp=sharing"",""นครนายก!J380"")"),0)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IFERROR(__xludf.DUMMYFUNCTION("IMPORTRANGE(""https://docs.google.com/spreadsheets/d/1SX6NBoVAgQJ6U1MVXOaj8PK2l7WJ3RER9xtqwdhxkhw/edit?usp=sharing"",""นครนายก!I381"")"),0)</f>
        <v>0</v>
      </c>
      <c r="J486" s="189">
        <f ca="1">IFERROR(__xludf.DUMMYFUNCTION("IMPORTRANGE(""https://docs.google.com/spreadsheets/d/1SX6NBoVAgQJ6U1MVXOaj8PK2l7WJ3RER9xtqwdhxkhw/edit?usp=sharing"",""นครนายก!J381"")"),0)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IFERROR(__xludf.DUMMYFUNCTION("IMPORTRANGE(""https://docs.google.com/spreadsheets/d/1SX6NBoVAgQJ6U1MVXOaj8PK2l7WJ3RER9xtqwdhxkhw/edit?usp=sharing"",""นครนายก!I382"")"),0)</f>
        <v>0</v>
      </c>
      <c r="J487" s="420">
        <f ca="1">IFERROR(__xludf.DUMMYFUNCTION("IMPORTRANGE(""https://docs.google.com/spreadsheets/d/1SX6NBoVAgQJ6U1MVXOaj8PK2l7WJ3RER9xtqwdhxkhw/edit?usp=sharing"",""นครนายก!J382"")"),0)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IFERROR(__xludf.DUMMYFUNCTION("IMPORTRANGE(""https://docs.google.com/spreadsheets/d/1SX6NBoVAgQJ6U1MVXOaj8PK2l7WJ3RER9xtqwdhxkhw/edit?usp=sharing"",""นครนายก!I383"")"),0)</f>
        <v>0</v>
      </c>
      <c r="J488" s="420">
        <f ca="1">IFERROR(__xludf.DUMMYFUNCTION("IMPORTRANGE(""https://docs.google.com/spreadsheets/d/1SX6NBoVAgQJ6U1MVXOaj8PK2l7WJ3RER9xtqwdhxkhw/edit?usp=sharing"",""นครนายก!J383"")"),0)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IFERROR(__xludf.DUMMYFUNCTION("IMPORTRANGE(""https://docs.google.com/spreadsheets/d/1SX6NBoVAgQJ6U1MVXOaj8PK2l7WJ3RER9xtqwdhxkhw/edit?usp=sharing"",""นครนายก!I384"")"),0)</f>
        <v>0</v>
      </c>
      <c r="J489" s="189">
        <f ca="1">IFERROR(__xludf.DUMMYFUNCTION("IMPORTRANGE(""https://docs.google.com/spreadsheets/d/1SX6NBoVAgQJ6U1MVXOaj8PK2l7WJ3RER9xtqwdhxkhw/edit?usp=sharing"",""นครนายก!J384"")"),0)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IFERROR(__xludf.DUMMYFUNCTION("IMPORTRANGE(""https://docs.google.com/spreadsheets/d/1SX6NBoVAgQJ6U1MVXOaj8PK2l7WJ3RER9xtqwdhxkhw/edit?usp=sharing"",""นครนายก!I385"")"),0)</f>
        <v>0</v>
      </c>
      <c r="J490" s="189">
        <f ca="1">IFERROR(__xludf.DUMMYFUNCTION("IMPORTRANGE(""https://docs.google.com/spreadsheets/d/1SX6NBoVAgQJ6U1MVXOaj8PK2l7WJ3RER9xtqwdhxkhw/edit?usp=sharing"",""นครนายก!J385"")"),0)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IFERROR(__xludf.DUMMYFUNCTION("IMPORTRANGE(""https://docs.google.com/spreadsheets/d/1SX6NBoVAgQJ6U1MVXOaj8PK2l7WJ3RER9xtqwdhxkhw/edit?usp=sharing"",""นครนายก!I386"")"),0)</f>
        <v>0</v>
      </c>
      <c r="J491" s="189">
        <f ca="1">IFERROR(__xludf.DUMMYFUNCTION("IMPORTRANGE(""https://docs.google.com/spreadsheets/d/1SX6NBoVAgQJ6U1MVXOaj8PK2l7WJ3RER9xtqwdhxkhw/edit?usp=sharing"",""นครนายก!J386"")"),0)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IFERROR(__xludf.DUMMYFUNCTION("IMPORTRANGE(""https://docs.google.com/spreadsheets/d/1SX6NBoVAgQJ6U1MVXOaj8PK2l7WJ3RER9xtqwdhxkhw/edit?usp=sharing"",""นครนายก!I387"")"),0)</f>
        <v>0</v>
      </c>
      <c r="J492" s="189">
        <f ca="1">IFERROR(__xludf.DUMMYFUNCTION("IMPORTRANGE(""https://docs.google.com/spreadsheets/d/1SX6NBoVAgQJ6U1MVXOaj8PK2l7WJ3RER9xtqwdhxkhw/edit?usp=sharing"",""นครนายก!J387"")"),0)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IFERROR(__xludf.DUMMYFUNCTION("IMPORTRANGE(""https://docs.google.com/spreadsheets/d/1SX6NBoVAgQJ6U1MVXOaj8PK2l7WJ3RER9xtqwdhxkhw/edit?usp=sharing"",""นครนายก!I388"")"),0)</f>
        <v>0</v>
      </c>
      <c r="J493" s="189">
        <f ca="1">IFERROR(__xludf.DUMMYFUNCTION("IMPORTRANGE(""https://docs.google.com/spreadsheets/d/1SX6NBoVAgQJ6U1MVXOaj8PK2l7WJ3RER9xtqwdhxkhw/edit?usp=sharing"",""นครนายก!J388"")"),0)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IFERROR(__xludf.DUMMYFUNCTION("IMPORTRANGE(""https://docs.google.com/spreadsheets/d/1SX6NBoVAgQJ6U1MVXOaj8PK2l7WJ3RER9xtqwdhxkhw/edit?usp=sharing"",""นครนายก!I389"")"),0)</f>
        <v>0</v>
      </c>
      <c r="J494" s="436">
        <f ca="1">IFERROR(__xludf.DUMMYFUNCTION("IMPORTRANGE(""https://docs.google.com/spreadsheets/d/1SX6NBoVAgQJ6U1MVXOaj8PK2l7WJ3RER9xtqwdhxkhw/edit?usp=sharing"",""นครนายก!J389"")"),0)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IFERROR(__xludf.DUMMYFUNCTION("IMPORTRANGE(""https://docs.google.com/spreadsheets/d/1SX6NBoVAgQJ6U1MVXOaj8PK2l7WJ3RER9xtqwdhxkhw/edit?usp=sharing"",""นครนายก!I390"")"),0)</f>
        <v>0</v>
      </c>
      <c r="J495" s="436">
        <f ca="1">IFERROR(__xludf.DUMMYFUNCTION("IMPORTRANGE(""https://docs.google.com/spreadsheets/d/1SX6NBoVAgQJ6U1MVXOaj8PK2l7WJ3RER9xtqwdhxkhw/edit?usp=sharing"",""นครนายก!J390"")"),0)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IFERROR(__xludf.DUMMYFUNCTION("IMPORTRANGE(""https://docs.google.com/spreadsheets/d/1SX6NBoVAgQJ6U1MVXOaj8PK2l7WJ3RER9xtqwdhxkhw/edit?usp=sharing"",""นครนายก!I391"")"),0)</f>
        <v>0</v>
      </c>
      <c r="J496" s="436">
        <f ca="1">IFERROR(__xludf.DUMMYFUNCTION("IMPORTRANGE(""https://docs.google.com/spreadsheets/d/1SX6NBoVAgQJ6U1MVXOaj8PK2l7WJ3RER9xtqwdhxkhw/edit?usp=sharing"",""นครนายก!J391"")"),0)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IFERROR(__xludf.DUMMYFUNCTION("IMPORTRANGE(""https://docs.google.com/spreadsheets/d/1SX6NBoVAgQJ6U1MVXOaj8PK2l7WJ3RER9xtqwdhxkhw/edit?usp=sharing"",""นครนายก!I392"")"),0)</f>
        <v>0</v>
      </c>
      <c r="J497" s="443">
        <f ca="1">IFERROR(__xludf.DUMMYFUNCTION("IMPORTRANGE(""https://docs.google.com/spreadsheets/d/1SX6NBoVAgQJ6U1MVXOaj8PK2l7WJ3RER9xtqwdhxkhw/edit?usp=sharing"",""นครนายก!J392"")"),0)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IFERROR(__xludf.DUMMYFUNCTION("IMPORTRANGE(""https://docs.google.com/spreadsheets/d/1SX6NBoVAgQJ6U1MVXOaj8PK2l7WJ3RER9xtqwdhxkhw/edit?usp=sharing"",""นครนายก!I393"")"),0)</f>
        <v>0</v>
      </c>
      <c r="J498" s="420">
        <f ca="1">IFERROR(__xludf.DUMMYFUNCTION("IMPORTRANGE(""https://docs.google.com/spreadsheets/d/1SX6NBoVAgQJ6U1MVXOaj8PK2l7WJ3RER9xtqwdhxkhw/edit?usp=sharing"",""นครนายก!J393"")"),0)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IFERROR(__xludf.DUMMYFUNCTION("IMPORTRANGE(""https://docs.google.com/spreadsheets/d/1SX6NBoVAgQJ6U1MVXOaj8PK2l7WJ3RER9xtqwdhxkhw/edit?usp=sharing"",""นครนายก!I394"")"),0)</f>
        <v>0</v>
      </c>
      <c r="J499" s="420">
        <f ca="1">IFERROR(__xludf.DUMMYFUNCTION("IMPORTRANGE(""https://docs.google.com/spreadsheets/d/1SX6NBoVAgQJ6U1MVXOaj8PK2l7WJ3RER9xtqwdhxkhw/edit?usp=sharing"",""นครนายก!J394"")"),0)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IFERROR(__xludf.DUMMYFUNCTION("IMPORTRANGE(""https://docs.google.com/spreadsheets/d/1SX6NBoVAgQJ6U1MVXOaj8PK2l7WJ3RER9xtqwdhxkhw/edit?usp=sharing"",""นครนายก!I395"")"),0)</f>
        <v>0</v>
      </c>
      <c r="J500" s="162">
        <f ca="1">IFERROR(__xludf.DUMMYFUNCTION("IMPORTRANGE(""https://docs.google.com/spreadsheets/d/1SX6NBoVAgQJ6U1MVXOaj8PK2l7WJ3RER9xtqwdhxkhw/edit?usp=sharing"",""นครนายก!J395"")"),0)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IFERROR(__xludf.DUMMYFUNCTION("IMPORTRANGE(""https://docs.google.com/spreadsheets/d/1SX6NBoVAgQJ6U1MVXOaj8PK2l7WJ3RER9xtqwdhxkhw/edit?usp=sharing"",""นครนายก!I396"")"),0)</f>
        <v>0</v>
      </c>
      <c r="J501" s="162">
        <f ca="1">IFERROR(__xludf.DUMMYFUNCTION("IMPORTRANGE(""https://docs.google.com/spreadsheets/d/1SX6NBoVAgQJ6U1MVXOaj8PK2l7WJ3RER9xtqwdhxkhw/edit?usp=sharing"",""นครนายก!J396"")"),0)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IFERROR(__xludf.DUMMYFUNCTION("IMPORTRANGE(""https://docs.google.com/spreadsheets/d/1SX6NBoVAgQJ6U1MVXOaj8PK2l7WJ3RER9xtqwdhxkhw/edit?usp=sharing"",""นครนายก!I397"")"),0)</f>
        <v>0</v>
      </c>
      <c r="J502" s="189">
        <f ca="1">IFERROR(__xludf.DUMMYFUNCTION("IMPORTRANGE(""https://docs.google.com/spreadsheets/d/1SX6NBoVAgQJ6U1MVXOaj8PK2l7WJ3RER9xtqwdhxkhw/edit?usp=sharing"",""นครนายก!J397"")"),0)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IFERROR(__xludf.DUMMYFUNCTION("IMPORTRANGE(""https://docs.google.com/spreadsheets/d/1SX6NBoVAgQJ6U1MVXOaj8PK2l7WJ3RER9xtqwdhxkhw/edit?usp=sharing"",""นครนายก!I398"")"),0)</f>
        <v>0</v>
      </c>
      <c r="J503" s="198">
        <f ca="1">IFERROR(__xludf.DUMMYFUNCTION("IMPORTRANGE(""https://docs.google.com/spreadsheets/d/1SX6NBoVAgQJ6U1MVXOaj8PK2l7WJ3RER9xtqwdhxkhw/edit?usp=sharing"",""นครนายก!J398"")"),0)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IFERROR(__xludf.DUMMYFUNCTION("IMPORTRANGE(""https://docs.google.com/spreadsheets/d/1SX6NBoVAgQJ6U1MVXOaj8PK2l7WJ3RER9xtqwdhxkhw/edit?usp=sharing"",""นครนายก!I399"")"),0)</f>
        <v>0</v>
      </c>
      <c r="J504" s="189">
        <f ca="1">IFERROR(__xludf.DUMMYFUNCTION("IMPORTRANGE(""https://docs.google.com/spreadsheets/d/1SX6NBoVAgQJ6U1MVXOaj8PK2l7WJ3RER9xtqwdhxkhw/edit?usp=sharing"",""นครนายก!J399"")"),0)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IFERROR(__xludf.DUMMYFUNCTION("IMPORTRANGE(""https://docs.google.com/spreadsheets/d/1SX6NBoVAgQJ6U1MVXOaj8PK2l7WJ3RER9xtqwdhxkhw/edit?usp=sharing"",""นครนายก!I400"")"),0)</f>
        <v>0</v>
      </c>
      <c r="J505" s="198">
        <f ca="1">IFERROR(__xludf.DUMMYFUNCTION("IMPORTRANGE(""https://docs.google.com/spreadsheets/d/1SX6NBoVAgQJ6U1MVXOaj8PK2l7WJ3RER9xtqwdhxkhw/edit?usp=sharing"",""นครนายก!J400"")"),0)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IFERROR(__xludf.DUMMYFUNCTION("IMPORTRANGE(""https://docs.google.com/spreadsheets/d/1SX6NBoVAgQJ6U1MVXOaj8PK2l7WJ3RER9xtqwdhxkhw/edit?usp=sharing"",""นครนายก!I401"")"),0)</f>
        <v>0</v>
      </c>
      <c r="J506" s="189">
        <f ca="1">IFERROR(__xludf.DUMMYFUNCTION("IMPORTRANGE(""https://docs.google.com/spreadsheets/d/1SX6NBoVAgQJ6U1MVXOaj8PK2l7WJ3RER9xtqwdhxkhw/edit?usp=sharing"",""นครนายก!J401"")"),0)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IFERROR(__xludf.DUMMYFUNCTION("IMPORTRANGE(""https://docs.google.com/spreadsheets/d/1SX6NBoVAgQJ6U1MVXOaj8PK2l7WJ3RER9xtqwdhxkhw/edit?usp=sharing"",""นครนายก!I402"")"),0)</f>
        <v>0</v>
      </c>
      <c r="J507" s="198">
        <f ca="1">IFERROR(__xludf.DUMMYFUNCTION("IMPORTRANGE(""https://docs.google.com/spreadsheets/d/1SX6NBoVAgQJ6U1MVXOaj8PK2l7WJ3RER9xtqwdhxkhw/edit?usp=sharing"",""นครนายก!J402"")"),0)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IFERROR(__xludf.DUMMYFUNCTION("IMPORTRANGE(""https://docs.google.com/spreadsheets/d/1SX6NBoVAgQJ6U1MVXOaj8PK2l7WJ3RER9xtqwdhxkhw/edit?usp=sharing"",""นครนายก!I403"")"),0)</f>
        <v>0</v>
      </c>
      <c r="J508" s="162">
        <f ca="1">IFERROR(__xludf.DUMMYFUNCTION("IMPORTRANGE(""https://docs.google.com/spreadsheets/d/1SX6NBoVAgQJ6U1MVXOaj8PK2l7WJ3RER9xtqwdhxkhw/edit?usp=sharing"",""นครนายก!J403"")"),0)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IFERROR(__xludf.DUMMYFUNCTION("IMPORTRANGE(""https://docs.google.com/spreadsheets/d/1SX6NBoVAgQJ6U1MVXOaj8PK2l7WJ3RER9xtqwdhxkhw/edit?usp=sharing"",""นครนายก!I404"")"),0)</f>
        <v>0</v>
      </c>
      <c r="J509" s="162">
        <f ca="1">IFERROR(__xludf.DUMMYFUNCTION("IMPORTRANGE(""https://docs.google.com/spreadsheets/d/1SX6NBoVAgQJ6U1MVXOaj8PK2l7WJ3RER9xtqwdhxkhw/edit?usp=sharing"",""นครนายก!J404"")"),0)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IFERROR(__xludf.DUMMYFUNCTION("IMPORTRANGE(""https://docs.google.com/spreadsheets/d/1SX6NBoVAgQJ6U1MVXOaj8PK2l7WJ3RER9xtqwdhxkhw/edit?usp=sharing"",""นครนายก!I405"")"),0)</f>
        <v>0</v>
      </c>
      <c r="J510" s="198">
        <f ca="1">IFERROR(__xludf.DUMMYFUNCTION("IMPORTRANGE(""https://docs.google.com/spreadsheets/d/1SX6NBoVAgQJ6U1MVXOaj8PK2l7WJ3RER9xtqwdhxkhw/edit?usp=sharing"",""นครนายก!J405"")"),0)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IFERROR(__xludf.DUMMYFUNCTION("IMPORTRANGE(""https://docs.google.com/spreadsheets/d/1SX6NBoVAgQJ6U1MVXOaj8PK2l7WJ3RER9xtqwdhxkhw/edit?usp=sharing"",""นครนายก!I406"")"),0)</f>
        <v>0</v>
      </c>
      <c r="J511" s="198">
        <f ca="1">IFERROR(__xludf.DUMMYFUNCTION("IMPORTRANGE(""https://docs.google.com/spreadsheets/d/1SX6NBoVAgQJ6U1MVXOaj8PK2l7WJ3RER9xtqwdhxkhw/edit?usp=sharing"",""นครนายก!J406"")"),0)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IFERROR(__xludf.DUMMYFUNCTION("IMPORTRANGE(""https://docs.google.com/spreadsheets/d/1SX6NBoVAgQJ6U1MVXOaj8PK2l7WJ3RER9xtqwdhxkhw/edit?usp=sharing"",""นครนายก!I407"")"),0)</f>
        <v>0</v>
      </c>
      <c r="J512" s="198">
        <f ca="1">IFERROR(__xludf.DUMMYFUNCTION("IMPORTRANGE(""https://docs.google.com/spreadsheets/d/1SX6NBoVAgQJ6U1MVXOaj8PK2l7WJ3RER9xtqwdhxkhw/edit?usp=sharing"",""นครนายก!J407"")"),0)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IFERROR(__xludf.DUMMYFUNCTION("IMPORTRANGE(""https://docs.google.com/spreadsheets/d/1SX6NBoVAgQJ6U1MVXOaj8PK2l7WJ3RER9xtqwdhxkhw/edit?usp=sharing"",""นครนายก!I408"")"),0)</f>
        <v>0</v>
      </c>
      <c r="J513" s="198">
        <f ca="1">IFERROR(__xludf.DUMMYFUNCTION("IMPORTRANGE(""https://docs.google.com/spreadsheets/d/1SX6NBoVAgQJ6U1MVXOaj8PK2l7WJ3RER9xtqwdhxkhw/edit?usp=sharing"",""นครนายก!J408"")"),0)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IFERROR(__xludf.DUMMYFUNCTION("IMPORTRANGE(""https://docs.google.com/spreadsheets/d/1SX6NBoVAgQJ6U1MVXOaj8PK2l7WJ3RER9xtqwdhxkhw/edit?usp=sharing"",""นครนายก!I409"")"),0)</f>
        <v>0</v>
      </c>
      <c r="J514" s="198">
        <f ca="1">IFERROR(__xludf.DUMMYFUNCTION("IMPORTRANGE(""https://docs.google.com/spreadsheets/d/1SX6NBoVAgQJ6U1MVXOaj8PK2l7WJ3RER9xtqwdhxkhw/edit?usp=sharing"",""นครนายก!J409"")"),0)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IFERROR(__xludf.DUMMYFUNCTION("IMPORTRANGE(""https://docs.google.com/spreadsheets/d/1SX6NBoVAgQJ6U1MVXOaj8PK2l7WJ3RER9xtqwdhxkhw/edit?usp=sharing"",""นครนายก!I410"")"),0)</f>
        <v>0</v>
      </c>
      <c r="J515" s="198">
        <f ca="1">IFERROR(__xludf.DUMMYFUNCTION("IMPORTRANGE(""https://docs.google.com/spreadsheets/d/1SX6NBoVAgQJ6U1MVXOaj8PK2l7WJ3RER9xtqwdhxkhw/edit?usp=sharing"",""นครนายก!J410"")"),0)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IFERROR(__xludf.DUMMYFUNCTION("IMPORTRANGE(""https://docs.google.com/spreadsheets/d/1SX6NBoVAgQJ6U1MVXOaj8PK2l7WJ3RER9xtqwdhxkhw/edit?usp=sharing"",""นครนายก!I411"")"),0)</f>
        <v>0</v>
      </c>
      <c r="J516" s="267">
        <f ca="1">IFERROR(__xludf.DUMMYFUNCTION("IMPORTRANGE(""https://docs.google.com/spreadsheets/d/1SX6NBoVAgQJ6U1MVXOaj8PK2l7WJ3RER9xtqwdhxkhw/edit?usp=sharing"",""นครนายก!J411"")"),0)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IFERROR(__xludf.DUMMYFUNCTION("IMPORTRANGE(""https://docs.google.com/spreadsheets/d/1SX6NBoVAgQJ6U1MVXOaj8PK2l7WJ3RER9xtqwdhxkhw/edit?usp=sharing"",""นครนายก!I412"")"),0)</f>
        <v>0</v>
      </c>
      <c r="J517" s="284">
        <f ca="1">IFERROR(__xludf.DUMMYFUNCTION("IMPORTRANGE(""https://docs.google.com/spreadsheets/d/1SX6NBoVAgQJ6U1MVXOaj8PK2l7WJ3RER9xtqwdhxkhw/edit?usp=sharing"",""นครนายก!J412"")"),0)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IFERROR(__xludf.DUMMYFUNCTION("IMPORTRANGE(""https://docs.google.com/spreadsheets/d/1SX6NBoVAgQJ6U1MVXOaj8PK2l7WJ3RER9xtqwdhxkhw/edit?usp=sharing"",""นครนายก!I413"")"),0)</f>
        <v>0</v>
      </c>
      <c r="J518" s="284">
        <f ca="1">IFERROR(__xludf.DUMMYFUNCTION("IMPORTRANGE(""https://docs.google.com/spreadsheets/d/1SX6NBoVAgQJ6U1MVXOaj8PK2l7WJ3RER9xtqwdhxkhw/edit?usp=sharing"",""นครนายก!J413"")"),0)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IFERROR(__xludf.DUMMYFUNCTION("IMPORTRANGE(""https://docs.google.com/spreadsheets/d/1SX6NBoVAgQJ6U1MVXOaj8PK2l7WJ3RER9xtqwdhxkhw/edit?usp=sharing"",""นครนายก!I414"")"),0)</f>
        <v>0</v>
      </c>
      <c r="J519" s="188">
        <f ca="1">IFERROR(__xludf.DUMMYFUNCTION("IMPORTRANGE(""https://docs.google.com/spreadsheets/d/1SX6NBoVAgQJ6U1MVXOaj8PK2l7WJ3RER9xtqwdhxkhw/edit?usp=sharing"",""นครนายก!J414"")"),0)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IFERROR(__xludf.DUMMYFUNCTION("IMPORTRANGE(""https://docs.google.com/spreadsheets/d/1SX6NBoVAgQJ6U1MVXOaj8PK2l7WJ3RER9xtqwdhxkhw/edit?usp=sharing"",""นครนายก!I415"")"),0)</f>
        <v>0</v>
      </c>
      <c r="J520" s="188">
        <f ca="1">IFERROR(__xludf.DUMMYFUNCTION("IMPORTRANGE(""https://docs.google.com/spreadsheets/d/1SX6NBoVAgQJ6U1MVXOaj8PK2l7WJ3RER9xtqwdhxkhw/edit?usp=sharing"",""นครนายก!J415"")"),0)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IFERROR(__xludf.DUMMYFUNCTION("IMPORTRANGE(""https://docs.google.com/spreadsheets/d/1SX6NBoVAgQJ6U1MVXOaj8PK2l7WJ3RER9xtqwdhxkhw/edit?usp=sharing"",""นครนายก!I416"")"),0)</f>
        <v>0</v>
      </c>
      <c r="J521" s="188">
        <f ca="1">IFERROR(__xludf.DUMMYFUNCTION("IMPORTRANGE(""https://docs.google.com/spreadsheets/d/1SX6NBoVAgQJ6U1MVXOaj8PK2l7WJ3RER9xtqwdhxkhw/edit?usp=sharing"",""นครนายก!J416"")"),0)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IFERROR(__xludf.DUMMYFUNCTION("IMPORTRANGE(""https://docs.google.com/spreadsheets/d/1SX6NBoVAgQJ6U1MVXOaj8PK2l7WJ3RER9xtqwdhxkhw/edit?usp=sharing"",""นครนายก!I417"")"),0)</f>
        <v>0</v>
      </c>
      <c r="J522" s="188">
        <f ca="1">IFERROR(__xludf.DUMMYFUNCTION("IMPORTRANGE(""https://docs.google.com/spreadsheets/d/1SX6NBoVAgQJ6U1MVXOaj8PK2l7WJ3RER9xtqwdhxkhw/edit?usp=sharing"",""นครนายก!J417"")"),0)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IFERROR(__xludf.DUMMYFUNCTION("IMPORTRANGE(""https://docs.google.com/spreadsheets/d/1SX6NBoVAgQJ6U1MVXOaj8PK2l7WJ3RER9xtqwdhxkhw/edit?usp=sharing"",""นครนายก!I418"")"),0)</f>
        <v>0</v>
      </c>
      <c r="J523" s="188">
        <f ca="1">IFERROR(__xludf.DUMMYFUNCTION("IMPORTRANGE(""https://docs.google.com/spreadsheets/d/1SX6NBoVAgQJ6U1MVXOaj8PK2l7WJ3RER9xtqwdhxkhw/edit?usp=sharing"",""นครนายก!J418"")"),0)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IFERROR(__xludf.DUMMYFUNCTION("IMPORTRANGE(""https://docs.google.com/spreadsheets/d/1SX6NBoVAgQJ6U1MVXOaj8PK2l7WJ3RER9xtqwdhxkhw/edit?usp=sharing"",""นครนายก!I419"")"),0)</f>
        <v>0</v>
      </c>
      <c r="J524" s="188">
        <f ca="1">IFERROR(__xludf.DUMMYFUNCTION("IMPORTRANGE(""https://docs.google.com/spreadsheets/d/1SX6NBoVAgQJ6U1MVXOaj8PK2l7WJ3RER9xtqwdhxkhw/edit?usp=sharing"",""นครนายก!J419"")"),0)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IFERROR(__xludf.DUMMYFUNCTION("IMPORTRANGE(""https://docs.google.com/spreadsheets/d/1SX6NBoVAgQJ6U1MVXOaj8PK2l7WJ3RER9xtqwdhxkhw/edit?usp=sharing"",""นครนายก!I420"")"),0)</f>
        <v>0</v>
      </c>
      <c r="J525" s="284">
        <f ca="1">IFERROR(__xludf.DUMMYFUNCTION("IMPORTRANGE(""https://docs.google.com/spreadsheets/d/1SX6NBoVAgQJ6U1MVXOaj8PK2l7WJ3RER9xtqwdhxkhw/edit?usp=sharing"",""นครนายก!J420"")"),0)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IFERROR(__xludf.DUMMYFUNCTION("IMPORTRANGE(""https://docs.google.com/spreadsheets/d/1SX6NBoVAgQJ6U1MVXOaj8PK2l7WJ3RER9xtqwdhxkhw/edit?usp=sharing"",""นครนายก!I421"")"),0)</f>
        <v>0</v>
      </c>
      <c r="J526" s="284">
        <f ca="1">IFERROR(__xludf.DUMMYFUNCTION("IMPORTRANGE(""https://docs.google.com/spreadsheets/d/1SX6NBoVAgQJ6U1MVXOaj8PK2l7WJ3RER9xtqwdhxkhw/edit?usp=sharing"",""นครนายก!J421"")"),0)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IFERROR(__xludf.DUMMYFUNCTION("IMPORTRANGE(""https://docs.google.com/spreadsheets/d/1SX6NBoVAgQJ6U1MVXOaj8PK2l7WJ3RER9xtqwdhxkhw/edit?usp=sharing"",""นครนายก!I422"")"),0)</f>
        <v>0</v>
      </c>
      <c r="J527" s="198">
        <f ca="1">IFERROR(__xludf.DUMMYFUNCTION("IMPORTRANGE(""https://docs.google.com/spreadsheets/d/1SX6NBoVAgQJ6U1MVXOaj8PK2l7WJ3RER9xtqwdhxkhw/edit?usp=sharing"",""นครนายก!J422"")"),0)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IFERROR(__xludf.DUMMYFUNCTION("IMPORTRANGE(""https://docs.google.com/spreadsheets/d/1SX6NBoVAgQJ6U1MVXOaj8PK2l7WJ3RER9xtqwdhxkhw/edit?usp=sharing"",""นครนายก!I423"")"),0)</f>
        <v>0</v>
      </c>
      <c r="J528" s="198">
        <f ca="1">IFERROR(__xludf.DUMMYFUNCTION("IMPORTRANGE(""https://docs.google.com/spreadsheets/d/1SX6NBoVAgQJ6U1MVXOaj8PK2l7WJ3RER9xtqwdhxkhw/edit?usp=sharing"",""นครนายก!J423"")"),0)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IFERROR(__xludf.DUMMYFUNCTION("IMPORTRANGE(""https://docs.google.com/spreadsheets/d/1SX6NBoVAgQJ6U1MVXOaj8PK2l7WJ3RER9xtqwdhxkhw/edit?usp=sharing"",""นครนายก!I424"")"),0)</f>
        <v>0</v>
      </c>
      <c r="J529" s="198">
        <f ca="1">IFERROR(__xludf.DUMMYFUNCTION("IMPORTRANGE(""https://docs.google.com/spreadsheets/d/1SX6NBoVAgQJ6U1MVXOaj8PK2l7WJ3RER9xtqwdhxkhw/edit?usp=sharing"",""นครนายก!J424"")"),0)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IFERROR(__xludf.DUMMYFUNCTION("IMPORTRANGE(""https://docs.google.com/spreadsheets/d/1SX6NBoVAgQJ6U1MVXOaj8PK2l7WJ3RER9xtqwdhxkhw/edit?usp=sharing"",""นครนายก!I425"")"),0)</f>
        <v>0</v>
      </c>
      <c r="J530" s="198">
        <f ca="1">IFERROR(__xludf.DUMMYFUNCTION("IMPORTRANGE(""https://docs.google.com/spreadsheets/d/1SX6NBoVAgQJ6U1MVXOaj8PK2l7WJ3RER9xtqwdhxkhw/edit?usp=sharing"",""นครนายก!J425"")"),0)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IFERROR(__xludf.DUMMYFUNCTION("IMPORTRANGE(""https://docs.google.com/spreadsheets/d/1SX6NBoVAgQJ6U1MVXOaj8PK2l7WJ3RER9xtqwdhxkhw/edit?usp=sharing"",""นครนายก!I426"")"),0)</f>
        <v>0</v>
      </c>
      <c r="J531" s="198">
        <f ca="1">IFERROR(__xludf.DUMMYFUNCTION("IMPORTRANGE(""https://docs.google.com/spreadsheets/d/1SX6NBoVAgQJ6U1MVXOaj8PK2l7WJ3RER9xtqwdhxkhw/edit?usp=sharing"",""นครนายก!J426"")"),0)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IFERROR(__xludf.DUMMYFUNCTION("IMPORTRANGE(""https://docs.google.com/spreadsheets/d/1SX6NBoVAgQJ6U1MVXOaj8PK2l7WJ3RER9xtqwdhxkhw/edit?usp=sharing"",""นครนายก!I427"")"),0)</f>
        <v>0</v>
      </c>
      <c r="J532" s="466">
        <f ca="1">IFERROR(__xludf.DUMMYFUNCTION("IMPORTRANGE(""https://docs.google.com/spreadsheets/d/1SX6NBoVAgQJ6U1MVXOaj8PK2l7WJ3RER9xtqwdhxkhw/edit?usp=sharing"",""นครนายก!J427"")"),0)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IFERROR(__xludf.DUMMYFUNCTION("IMPORTRANGE(""https://docs.google.com/spreadsheets/d/1SX6NBoVAgQJ6U1MVXOaj8PK2l7WJ3RER9xtqwdhxkhw/edit?usp=sharing"",""นครนายก!I428"")"),22)</f>
        <v>22</v>
      </c>
      <c r="J533" s="410">
        <f ca="1">IFERROR(__xludf.DUMMYFUNCTION("IMPORTRANGE(""https://docs.google.com/spreadsheets/d/1SX6NBoVAgQJ6U1MVXOaj8PK2l7WJ3RER9xtqwdhxkhw/edit?usp=sharing"",""นครนายก!J428"")"),22)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IFERROR(__xludf.DUMMYFUNCTION("IMPORTRANGE(""https://docs.google.com/spreadsheets/d/1SX6NBoVAgQJ6U1MVXOaj8PK2l7WJ3RER9xtqwdhxkhw/edit?usp=sharing"",""นครนายก!L428"")"),34340)</f>
        <v>34340</v>
      </c>
      <c r="M533" s="412"/>
      <c r="N533" s="412">
        <f ca="1">IFERROR(__xludf.DUMMYFUNCTION("IMPORTRANGE(""https://docs.google.com/spreadsheets/d/1SX6NBoVAgQJ6U1MVXOaj8PK2l7WJ3RER9xtqwdhxkhw/edit?usp=sharing"",""นครนายก!M428"")"),7960)</f>
        <v>7960</v>
      </c>
      <c r="O533" s="412">
        <f t="shared" ref="O533:O537" ca="1" si="118">+IF(L533&gt;0,N533*100/L533,0)</f>
        <v>23.179965055329063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IFERROR(__xludf.DUMMYFUNCTION("IMPORTRANGE(""https://docs.google.com/spreadsheets/d/1SX6NBoVAgQJ6U1MVXOaj8PK2l7WJ3RER9xtqwdhxkhw/edit?usp=sharing"",""นครนายก!L429"")"),0)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IFERROR(__xludf.DUMMYFUNCTION("IMPORTRANGE(""https://docs.google.com/spreadsheets/d/1SX6NBoVAgQJ6U1MVXOaj8PK2l7WJ3RER9xtqwdhxkhw/edit?usp=sharing"",""นครนายก!M429"")"),0)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IFERROR(__xludf.DUMMYFUNCTION("IMPORTRANGE(""https://docs.google.com/spreadsheets/d/1SX6NBoVAgQJ6U1MVXOaj8PK2l7WJ3RER9xtqwdhxkhw/edit?usp=sharing"",""นครนายก!L430"")"),34340)</f>
        <v>34340</v>
      </c>
      <c r="M535" s="165"/>
      <c r="N535" s="169">
        <f ca="1">IFERROR(__xludf.DUMMYFUNCTION("IMPORTRANGE(""https://docs.google.com/spreadsheets/d/1SX6NBoVAgQJ6U1MVXOaj8PK2l7WJ3RER9xtqwdhxkhw/edit?usp=sharing"",""นครนายก!M430"")"),7960)</f>
        <v>7960</v>
      </c>
      <c r="O535" s="169">
        <f t="shared" ca="1" si="118"/>
        <v>23.179965055329063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IFERROR(__xludf.DUMMYFUNCTION("IMPORTRANGE(""https://docs.google.com/spreadsheets/d/1SX6NBoVAgQJ6U1MVXOaj8PK2l7WJ3RER9xtqwdhxkhw/edit?usp=sharing"",""นครนายก!L431"")"),0)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IFERROR(__xludf.DUMMYFUNCTION("IMPORTRANGE(""https://docs.google.com/spreadsheets/d/1SX6NBoVAgQJ6U1MVXOaj8PK2l7WJ3RER9xtqwdhxkhw/edit?usp=sharing"",""นครนายก!M431"")"),0)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IFERROR(__xludf.DUMMYFUNCTION("IMPORTRANGE(""https://docs.google.com/spreadsheets/d/1SX6NBoVAgQJ6U1MVXOaj8PK2l7WJ3RER9xtqwdhxkhw/edit?usp=sharing"",""นครนายก!L432"")"),34340)</f>
        <v>34340</v>
      </c>
      <c r="M537" s="169"/>
      <c r="N537" s="169">
        <f ca="1">IFERROR(__xludf.DUMMYFUNCTION("IMPORTRANGE(""https://docs.google.com/spreadsheets/d/1SX6NBoVAgQJ6U1MVXOaj8PK2l7WJ3RER9xtqwdhxkhw/edit?usp=sharing"",""นครนายก!M432"")"),7960)</f>
        <v>7960</v>
      </c>
      <c r="O537" s="169">
        <f t="shared" ca="1" si="118"/>
        <v>23.179965055329063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IFERROR(__xludf.DUMMYFUNCTION("IMPORTRANGE(""https://docs.google.com/spreadsheets/d/1SX6NBoVAgQJ6U1MVXOaj8PK2l7WJ3RER9xtqwdhxkhw/edit?usp=sharing"",""นครนายก!M433"")"),0)</f>
        <v>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IFERROR(__xludf.DUMMYFUNCTION("IMPORTRANGE(""https://docs.google.com/spreadsheets/d/1SX6NBoVAgQJ6U1MVXOaj8PK2l7WJ3RER9xtqwdhxkhw/edit?usp=sharing"",""นครนายก!M434"")"),0)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IFERROR(__xludf.DUMMYFUNCTION("IMPORTRANGE(""https://docs.google.com/spreadsheets/d/1SX6NBoVAgQJ6U1MVXOaj8PK2l7WJ3RER9xtqwdhxkhw/edit?usp=sharing"",""นครนายก!M435"")"),0)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IFERROR(__xludf.DUMMYFUNCTION("IMPORTRANGE(""https://docs.google.com/spreadsheets/d/1SX6NBoVAgQJ6U1MVXOaj8PK2l7WJ3RER9xtqwdhxkhw/edit?usp=sharing"",""นครนายก!M436"")"),7960)</f>
        <v>7960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IFERROR(__xludf.DUMMYFUNCTION("IMPORTRANGE(""https://docs.google.com/spreadsheets/d/1SX6NBoVAgQJ6U1MVXOaj8PK2l7WJ3RER9xtqwdhxkhw/edit?usp=sharing"",""นครนายก!J438"")"),0)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IFERROR(__xludf.DUMMYFUNCTION("IMPORTRANGE(""https://docs.google.com/spreadsheets/d/1SX6NBoVAgQJ6U1MVXOaj8PK2l7WJ3RER9xtqwdhxkhw/edit?usp=sharing"",""นครนายก!J439"")"),1)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IFERROR(__xludf.DUMMYFUNCTION("IMPORTRANGE(""https://docs.google.com/spreadsheets/d/1SX6NBoVAgQJ6U1MVXOaj8PK2l7WJ3RER9xtqwdhxkhw/edit?usp=sharing"",""นครนายก!J440"")"),1)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IFERROR(__xludf.DUMMYFUNCTION("IMPORTRANGE(""https://docs.google.com/spreadsheets/d/1SX6NBoVAgQJ6U1MVXOaj8PK2l7WJ3RER9xtqwdhxkhw/edit?usp=sharing"",""นครนายก!J441"")"),1)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IFERROR(__xludf.DUMMYFUNCTION("IMPORTRANGE(""https://docs.google.com/spreadsheets/d/1SX6NBoVAgQJ6U1MVXOaj8PK2l7WJ3RER9xtqwdhxkhw/edit?usp=sharing"",""นครนายก!I442"")"),22)</f>
        <v>22</v>
      </c>
      <c r="J547" s="189">
        <f ca="1">IFERROR(__xludf.DUMMYFUNCTION("IMPORTRANGE(""https://docs.google.com/spreadsheets/d/1SX6NBoVAgQJ6U1MVXOaj8PK2l7WJ3RER9xtqwdhxkhw/edit?usp=sharing"",""นครนายก!J442"")"),22)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IFERROR(__xludf.DUMMYFUNCTION("IMPORTRANGE(""https://docs.google.com/spreadsheets/d/1SX6NBoVAgQJ6U1MVXOaj8PK2l7WJ3RER9xtqwdhxkhw/edit?usp=sharing"",""นครนายก!J166"")"),0)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IFERROR(__xludf.DUMMYFUNCTION("IMPORTRANGE(""https://docs.google.com/spreadsheets/d/1SX6NBoVAgQJ6U1MVXOaj8PK2l7WJ3RER9xtqwdhxkhw/edit?usp=sharing"",""นครนายก!J444"")"),0)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IFERROR(__xludf.DUMMYFUNCTION("IMPORTRANGE(""https://docs.google.com/spreadsheets/d/1SX6NBoVAgQJ6U1MVXOaj8PK2l7WJ3RER9xtqwdhxkhw/edit?usp=sharing"",""นครนายก!J445"")"),0)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IFERROR(__xludf.DUMMYFUNCTION("IMPORTRANGE(""https://docs.google.com/spreadsheets/d/1SX6NBoVAgQJ6U1MVXOaj8PK2l7WJ3RER9xtqwdhxkhw/edit?usp=sharing"",""นครนายก!I446"")"),0)</f>
        <v>0</v>
      </c>
      <c r="J551" s="410">
        <f ca="1">IFERROR(__xludf.DUMMYFUNCTION("IMPORTRANGE(""https://docs.google.com/spreadsheets/d/1SX6NBoVAgQJ6U1MVXOaj8PK2l7WJ3RER9xtqwdhxkhw/edit?usp=sharing"",""นครนายก!J446"")"),0)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IFERROR(__xludf.DUMMYFUNCTION("IMPORTRANGE(""https://docs.google.com/spreadsheets/d/1SX6NBoVAgQJ6U1MVXOaj8PK2l7WJ3RER9xtqwdhxkhw/edit?usp=sharing"",""นครนายก!L446"")"),0)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IFERROR(__xludf.DUMMYFUNCTION("IMPORTRANGE(""https://docs.google.com/spreadsheets/d/1SX6NBoVAgQJ6U1MVXOaj8PK2l7WJ3RER9xtqwdhxkhw/edit?usp=sharing"",""นครนายก!M446"")"),0)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IFERROR(__xludf.DUMMYFUNCTION("IMPORTRANGE(""https://docs.google.com/spreadsheets/d/1SX6NBoVAgQJ6U1MVXOaj8PK2l7WJ3RER9xtqwdhxkhw/edit?usp=sharing"",""นครนายก!L447"")"),0)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IFERROR(__xludf.DUMMYFUNCTION("IMPORTRANGE(""https://docs.google.com/spreadsheets/d/1SX6NBoVAgQJ6U1MVXOaj8PK2l7WJ3RER9xtqwdhxkhw/edit?usp=sharing"",""นครนายก!M447"")"),0)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IFERROR(__xludf.DUMMYFUNCTION("IMPORTRANGE(""https://docs.google.com/spreadsheets/d/1SX6NBoVAgQJ6U1MVXOaj8PK2l7WJ3RER9xtqwdhxkhw/edit?usp=sharing"",""นครนายก!L448"")"),0)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IFERROR(__xludf.DUMMYFUNCTION("IMPORTRANGE(""https://docs.google.com/spreadsheets/d/1SX6NBoVAgQJ6U1MVXOaj8PK2l7WJ3RER9xtqwdhxkhw/edit?usp=sharing"",""นครนายก!M448"")"),0)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IFERROR(__xludf.DUMMYFUNCTION("IMPORTRANGE(""https://docs.google.com/spreadsheets/d/1SX6NBoVAgQJ6U1MVXOaj8PK2l7WJ3RER9xtqwdhxkhw/edit?usp=sharing"",""นครนายก!L449"")"),0)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IFERROR(__xludf.DUMMYFUNCTION("IMPORTRANGE(""https://docs.google.com/spreadsheets/d/1SX6NBoVAgQJ6U1MVXOaj8PK2l7WJ3RER9xtqwdhxkhw/edit?usp=sharing"",""นครนายก!M449"")"),0)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IFERROR(__xludf.DUMMYFUNCTION("IMPORTRANGE(""https://docs.google.com/spreadsheets/d/1SX6NBoVAgQJ6U1MVXOaj8PK2l7WJ3RER9xtqwdhxkhw/edit?usp=sharing"",""นครนายก!L450"")"),0)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IFERROR(__xludf.DUMMYFUNCTION("IMPORTRANGE(""https://docs.google.com/spreadsheets/d/1SX6NBoVAgQJ6U1MVXOaj8PK2l7WJ3RER9xtqwdhxkhw/edit?usp=sharing"",""นครนายก!M450"")"),0)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IFERROR(__xludf.DUMMYFUNCTION("IMPORTRANGE(""https://docs.google.com/spreadsheets/d/1SX6NBoVAgQJ6U1MVXOaj8PK2l7WJ3RER9xtqwdhxkhw/edit?usp=sharing"",""นครนายก!M451"")"),0)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IFERROR(__xludf.DUMMYFUNCTION("IMPORTRANGE(""https://docs.google.com/spreadsheets/d/1SX6NBoVAgQJ6U1MVXOaj8PK2l7WJ3RER9xtqwdhxkhw/edit?usp=sharing"",""นครนายก!M452"")"),0)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IFERROR(__xludf.DUMMYFUNCTION("IMPORTRANGE(""https://docs.google.com/spreadsheets/d/1SX6NBoVAgQJ6U1MVXOaj8PK2l7WJ3RER9xtqwdhxkhw/edit?usp=sharing"",""นครนายก!M453"")"),0)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IFERROR(__xludf.DUMMYFUNCTION("IMPORTRANGE(""https://docs.google.com/spreadsheets/d/1SX6NBoVAgQJ6U1MVXOaj8PK2l7WJ3RER9xtqwdhxkhw/edit?usp=sharing"",""นครนายก!M454"")"),0)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IFERROR(__xludf.DUMMYFUNCTION("IMPORTRANGE(""https://docs.google.com/spreadsheets/d/1SX6NBoVAgQJ6U1MVXOaj8PK2l7WJ3RER9xtqwdhxkhw/edit?usp=sharing"",""นครนายก!I455"")"),0)</f>
        <v>0</v>
      </c>
      <c r="J560" s="162">
        <f ca="1">IFERROR(__xludf.DUMMYFUNCTION("IMPORTRANGE(""https://docs.google.com/spreadsheets/d/1SX6NBoVAgQJ6U1MVXOaj8PK2l7WJ3RER9xtqwdhxkhw/edit?usp=sharing"",""นครนายก!J455"")"),0)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IFERROR(__xludf.DUMMYFUNCTION("IMPORTRANGE(""https://docs.google.com/spreadsheets/d/1SX6NBoVAgQJ6U1MVXOaj8PK2l7WJ3RER9xtqwdhxkhw/edit?usp=sharing"",""นครนายก!I456"")"),0)</f>
        <v>0</v>
      </c>
      <c r="J561" s="204">
        <f ca="1">IFERROR(__xludf.DUMMYFUNCTION("IMPORTRANGE(""https://docs.google.com/spreadsheets/d/1SX6NBoVAgQJ6U1MVXOaj8PK2l7WJ3RER9xtqwdhxkhw/edit?usp=sharing"",""นครนายก!J456"")"),0)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IFERROR(__xludf.DUMMYFUNCTION("IMPORTRANGE(""https://docs.google.com/spreadsheets/d/1SX6NBoVAgQJ6U1MVXOaj8PK2l7WJ3RER9xtqwdhxkhw/edit?usp=sharing"",""นครนายก!I459"")"),150)</f>
        <v>150</v>
      </c>
      <c r="J564" s="371">
        <f ca="1">IFERROR(__xludf.DUMMYFUNCTION("IMPORTRANGE(""https://docs.google.com/spreadsheets/d/1SX6NBoVAgQJ6U1MVXOaj8PK2l7WJ3RER9xtqwdhxkhw/edit?usp=sharing"",""นครนายก!J459"")"),463)</f>
        <v>463</v>
      </c>
      <c r="K564" s="372">
        <f ca="1">IF(I564&gt;0,J564*100/I564,0)</f>
        <v>308.66666666666669</v>
      </c>
      <c r="L564" s="373">
        <f ca="1">IFERROR(__xludf.DUMMYFUNCTION("IMPORTRANGE(""https://docs.google.com/spreadsheets/d/1SX6NBoVAgQJ6U1MVXOaj8PK2l7WJ3RER9xtqwdhxkhw/edit?usp=sharing"",""นครนายก!L459"")"),119520)</f>
        <v>119520</v>
      </c>
      <c r="M564" s="373"/>
      <c r="N564" s="373">
        <f ca="1">IFERROR(__xludf.DUMMYFUNCTION("IMPORTRANGE(""https://docs.google.com/spreadsheets/d/1SX6NBoVAgQJ6U1MVXOaj8PK2l7WJ3RER9xtqwdhxkhw/edit?usp=sharing"",""นครนายก!M459"")"),37080)</f>
        <v>37080</v>
      </c>
      <c r="O564" s="373">
        <f t="shared" ref="O564:O568" ca="1" si="122">+IF(L564&gt;0,N564*100/L564,0)</f>
        <v>31.024096385542169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IFERROR(__xludf.DUMMYFUNCTION("IMPORTRANGE(""https://docs.google.com/spreadsheets/d/1SX6NBoVAgQJ6U1MVXOaj8PK2l7WJ3RER9xtqwdhxkhw/edit?usp=sharing"",""นครนายก!L460"")"),0)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IFERROR(__xludf.DUMMYFUNCTION("IMPORTRANGE(""https://docs.google.com/spreadsheets/d/1SX6NBoVAgQJ6U1MVXOaj8PK2l7WJ3RER9xtqwdhxkhw/edit?usp=sharing"",""นครนายก!M460"")"),0)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IFERROR(__xludf.DUMMYFUNCTION("IMPORTRANGE(""https://docs.google.com/spreadsheets/d/1SX6NBoVAgQJ6U1MVXOaj8PK2l7WJ3RER9xtqwdhxkhw/edit?usp=sharing"",""นครนายก!L461"")"),119520)</f>
        <v>119520</v>
      </c>
      <c r="M566" s="165"/>
      <c r="N566" s="169">
        <f ca="1">IFERROR(__xludf.DUMMYFUNCTION("IMPORTRANGE(""https://docs.google.com/spreadsheets/d/1SX6NBoVAgQJ6U1MVXOaj8PK2l7WJ3RER9xtqwdhxkhw/edit?usp=sharing"",""นครนายก!M461"")"),37080)</f>
        <v>37080</v>
      </c>
      <c r="O566" s="169">
        <f t="shared" ca="1" si="122"/>
        <v>31.024096385542169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IFERROR(__xludf.DUMMYFUNCTION("IMPORTRANGE(""https://docs.google.com/spreadsheets/d/1SX6NBoVAgQJ6U1MVXOaj8PK2l7WJ3RER9xtqwdhxkhw/edit?usp=sharing"",""นครนายก!L462"")"),0)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IFERROR(__xludf.DUMMYFUNCTION("IMPORTRANGE(""https://docs.google.com/spreadsheets/d/1SX6NBoVAgQJ6U1MVXOaj8PK2l7WJ3RER9xtqwdhxkhw/edit?usp=sharing"",""นครนายก!M462"")"),0)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IFERROR(__xludf.DUMMYFUNCTION("IMPORTRANGE(""https://docs.google.com/spreadsheets/d/1SX6NBoVAgQJ6U1MVXOaj8PK2l7WJ3RER9xtqwdhxkhw/edit?usp=sharing"",""นครนายก!L463"")"),119520)</f>
        <v>119520</v>
      </c>
      <c r="M568" s="169"/>
      <c r="N568" s="169">
        <f ca="1">IFERROR(__xludf.DUMMYFUNCTION("IMPORTRANGE(""https://docs.google.com/spreadsheets/d/1SX6NBoVAgQJ6U1MVXOaj8PK2l7WJ3RER9xtqwdhxkhw/edit?usp=sharing"",""นครนายก!M463"")"),37080)</f>
        <v>37080</v>
      </c>
      <c r="O568" s="169">
        <f t="shared" ca="1" si="122"/>
        <v>31.024096385542169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IFERROR(__xludf.DUMMYFUNCTION("IMPORTRANGE(""https://docs.google.com/spreadsheets/d/1SX6NBoVAgQJ6U1MVXOaj8PK2l7WJ3RER9xtqwdhxkhw/edit?usp=sharing"",""นครนายก!M464"")"),0)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IFERROR(__xludf.DUMMYFUNCTION("IMPORTRANGE(""https://docs.google.com/spreadsheets/d/1SX6NBoVAgQJ6U1MVXOaj8PK2l7WJ3RER9xtqwdhxkhw/edit?usp=sharing"",""นครนายก!M465"")"),0)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IFERROR(__xludf.DUMMYFUNCTION("IMPORTRANGE(""https://docs.google.com/spreadsheets/d/1SX6NBoVAgQJ6U1MVXOaj8PK2l7WJ3RER9xtqwdhxkhw/edit?usp=sharing"",""นครนายก!M466"")"),33000)</f>
        <v>33000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IFERROR(__xludf.DUMMYFUNCTION("IMPORTRANGE(""https://docs.google.com/spreadsheets/d/1SX6NBoVAgQJ6U1MVXOaj8PK2l7WJ3RER9xtqwdhxkhw/edit?usp=sharing"",""นครนายก!M467"")"),4080)</f>
        <v>4080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IFERROR(__xludf.DUMMYFUNCTION("IMPORTRANGE(""https://docs.google.com/spreadsheets/d/1SX6NBoVAgQJ6U1MVXOaj8PK2l7WJ3RER9xtqwdhxkhw/edit?usp=sharing"",""นครนายก!I468"")"),150)</f>
        <v>150</v>
      </c>
      <c r="J573" s="420">
        <f ca="1">IFERROR(__xludf.DUMMYFUNCTION("IMPORTRANGE(""https://docs.google.com/spreadsheets/d/1SX6NBoVAgQJ6U1MVXOaj8PK2l7WJ3RER9xtqwdhxkhw/edit?usp=sharing"",""นครนายก!J468"")"),463)</f>
        <v>463</v>
      </c>
      <c r="K573" s="202">
        <f ca="1">IF(I573&gt;0,J573*100/I573,0)</f>
        <v>308.66666666666669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IFERROR(__xludf.DUMMYFUNCTION("IMPORTRANGE(""https://docs.google.com/spreadsheets/d/1SX6NBoVAgQJ6U1MVXOaj8PK2l7WJ3RER9xtqwdhxkhw/edit?usp=sharing"",""นครนายก!I470"")"),0)</f>
        <v>0</v>
      </c>
      <c r="J575" s="198">
        <f ca="1">IFERROR(__xludf.DUMMYFUNCTION("IMPORTRANGE(""https://docs.google.com/spreadsheets/d/1SX6NBoVAgQJ6U1MVXOaj8PK2l7WJ3RER9xtqwdhxkhw/edit?usp=sharing"",""นครนายก!J470"")"),3)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IFERROR(__xludf.DUMMYFUNCTION("IMPORTRANGE(""https://docs.google.com/spreadsheets/d/1SX6NBoVAgQJ6U1MVXOaj8PK2l7WJ3RER9xtqwdhxkhw/edit?usp=sharing"",""นครนายก!I471"")"),0)</f>
        <v>0</v>
      </c>
      <c r="J576" s="198">
        <f ca="1">IFERROR(__xludf.DUMMYFUNCTION("IMPORTRANGE(""https://docs.google.com/spreadsheets/d/1SX6NBoVAgQJ6U1MVXOaj8PK2l7WJ3RER9xtqwdhxkhw/edit?usp=sharing"",""นครนายก!J471"")"),92)</f>
        <v>92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IFERROR(__xludf.DUMMYFUNCTION("IMPORTRANGE(""https://docs.google.com/spreadsheets/d/1SX6NBoVAgQJ6U1MVXOaj8PK2l7WJ3RER9xtqwdhxkhw/edit?usp=sharing"",""นครนายก!I472"")"),0)</f>
        <v>0</v>
      </c>
      <c r="J577" s="189">
        <f ca="1">IFERROR(__xludf.DUMMYFUNCTION("IMPORTRANGE(""https://docs.google.com/spreadsheets/d/1SX6NBoVAgQJ6U1MVXOaj8PK2l7WJ3RER9xtqwdhxkhw/edit?usp=sharing"",""นครนายก!J472"")"),371)</f>
        <v>371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IFERROR(__xludf.DUMMYFUNCTION("IMPORTRANGE(""https://docs.google.com/spreadsheets/d/1SX6NBoVAgQJ6U1MVXOaj8PK2l7WJ3RER9xtqwdhxkhw/edit?usp=sharing"",""นครนายก!I473"")"),0)</f>
        <v>0</v>
      </c>
      <c r="J578" s="198">
        <f ca="1">IFERROR(__xludf.DUMMYFUNCTION("IMPORTRANGE(""https://docs.google.com/spreadsheets/d/1SX6NBoVAgQJ6U1MVXOaj8PK2l7WJ3RER9xtqwdhxkhw/edit?usp=sharing"",""นครนายก!J473"")"),0)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IFERROR(__xludf.DUMMYFUNCTION("IMPORTRANGE(""https://docs.google.com/spreadsheets/d/1SX6NBoVAgQJ6U1MVXOaj8PK2l7WJ3RER9xtqwdhxkhw/edit?usp=sharing"",""นครนายก!I474"")"),0)</f>
        <v>0</v>
      </c>
      <c r="J579" s="198">
        <f ca="1">IFERROR(__xludf.DUMMYFUNCTION("IMPORTRANGE(""https://docs.google.com/spreadsheets/d/1SX6NBoVAgQJ6U1MVXOaj8PK2l7WJ3RER9xtqwdhxkhw/edit?usp=sharing"",""นครนายก!J474"")"),0)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IFERROR(__xludf.DUMMYFUNCTION("IMPORTRANGE(""https://docs.google.com/spreadsheets/d/1SX6NBoVAgQJ6U1MVXOaj8PK2l7WJ3RER9xtqwdhxkhw/edit?usp=sharing"",""นครนายก!I475"")"),0)</f>
        <v>0</v>
      </c>
      <c r="J580" s="371">
        <f ca="1">IFERROR(__xludf.DUMMYFUNCTION("IMPORTRANGE(""https://docs.google.com/spreadsheets/d/1SX6NBoVAgQJ6U1MVXOaj8PK2l7WJ3RER9xtqwdhxkhw/edit?usp=sharing"",""นครนายก!J475"")"),0)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IFERROR(__xludf.DUMMYFUNCTION("IMPORTRANGE(""https://docs.google.com/spreadsheets/d/1SX6NBoVAgQJ6U1MVXOaj8PK2l7WJ3RER9xtqwdhxkhw/edit?usp=sharing"",""นครนายก!L475"")"),0)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IFERROR(__xludf.DUMMYFUNCTION("IMPORTRANGE(""https://docs.google.com/spreadsheets/d/1SX6NBoVAgQJ6U1MVXOaj8PK2l7WJ3RER9xtqwdhxkhw/edit?usp=sharing"",""นครนายก!M475"")"),0)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IFERROR(__xludf.DUMMYFUNCTION("IMPORTRANGE(""https://docs.google.com/spreadsheets/d/1SX6NBoVAgQJ6U1MVXOaj8PK2l7WJ3RER9xtqwdhxkhw/edit?usp=sharing"",""นครนายก!L476"")"),0)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IFERROR(__xludf.DUMMYFUNCTION("IMPORTRANGE(""https://docs.google.com/spreadsheets/d/1SX6NBoVAgQJ6U1MVXOaj8PK2l7WJ3RER9xtqwdhxkhw/edit?usp=sharing"",""นครนายก!M476"")"),0)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IFERROR(__xludf.DUMMYFUNCTION("IMPORTRANGE(""https://docs.google.com/spreadsheets/d/1SX6NBoVAgQJ6U1MVXOaj8PK2l7WJ3RER9xtqwdhxkhw/edit?usp=sharing"",""นครนายก!L477"")"),0)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IFERROR(__xludf.DUMMYFUNCTION("IMPORTRANGE(""https://docs.google.com/spreadsheets/d/1SX6NBoVAgQJ6U1MVXOaj8PK2l7WJ3RER9xtqwdhxkhw/edit?usp=sharing"",""นครนายก!M477"")"),0)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IFERROR(__xludf.DUMMYFUNCTION("IMPORTRANGE(""https://docs.google.com/spreadsheets/d/1SX6NBoVAgQJ6U1MVXOaj8PK2l7WJ3RER9xtqwdhxkhw/edit?usp=sharing"",""นครนายก!L478"")"),0)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IFERROR(__xludf.DUMMYFUNCTION("IMPORTRANGE(""https://docs.google.com/spreadsheets/d/1SX6NBoVAgQJ6U1MVXOaj8PK2l7WJ3RER9xtqwdhxkhw/edit?usp=sharing"",""นครนายก!M478"")"),0)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IFERROR(__xludf.DUMMYFUNCTION("IMPORTRANGE(""https://docs.google.com/spreadsheets/d/1SX6NBoVAgQJ6U1MVXOaj8PK2l7WJ3RER9xtqwdhxkhw/edit?usp=sharing"",""นครนายก!L479"")"),0)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IFERROR(__xludf.DUMMYFUNCTION("IMPORTRANGE(""https://docs.google.com/spreadsheets/d/1SX6NBoVAgQJ6U1MVXOaj8PK2l7WJ3RER9xtqwdhxkhw/edit?usp=sharing"",""นครนายก!M479"")"),0)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IFERROR(__xludf.DUMMYFUNCTION("IMPORTRANGE(""https://docs.google.com/spreadsheets/d/1SX6NBoVAgQJ6U1MVXOaj8PK2l7WJ3RER9xtqwdhxkhw/edit?usp=sharing"",""นครนายก!M480"")"),0)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IFERROR(__xludf.DUMMYFUNCTION("IMPORTRANGE(""https://docs.google.com/spreadsheets/d/1SX6NBoVAgQJ6U1MVXOaj8PK2l7WJ3RER9xtqwdhxkhw/edit?usp=sharing"",""นครนายก!M481"")"),0)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IFERROR(__xludf.DUMMYFUNCTION("IMPORTRANGE(""https://docs.google.com/spreadsheets/d/1SX6NBoVAgQJ6U1MVXOaj8PK2l7WJ3RER9xtqwdhxkhw/edit?usp=sharing"",""นครนายก!M482"")"),0)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IFERROR(__xludf.DUMMYFUNCTION("IMPORTRANGE(""https://docs.google.com/spreadsheets/d/1SX6NBoVAgQJ6U1MVXOaj8PK2l7WJ3RER9xtqwdhxkhw/edit?usp=sharing"",""นครนายก!M483"")"),0)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IFERROR(__xludf.DUMMYFUNCTION("IMPORTRANGE(""https://docs.google.com/spreadsheets/d/1SX6NBoVAgQJ6U1MVXOaj8PK2l7WJ3RER9xtqwdhxkhw/edit?usp=sharing"",""นครนายก!I484"")"),0)</f>
        <v>0</v>
      </c>
      <c r="J589" s="188">
        <f ca="1">IFERROR(__xludf.DUMMYFUNCTION("IMPORTRANGE(""https://docs.google.com/spreadsheets/d/1SX6NBoVAgQJ6U1MVXOaj8PK2l7WJ3RER9xtqwdhxkhw/edit?usp=sharing"",""นครนายก!J484"")"),0)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IFERROR(__xludf.DUMMYFUNCTION("IMPORTRANGE(""https://docs.google.com/spreadsheets/d/1SX6NBoVAgQJ6U1MVXOaj8PK2l7WJ3RER9xtqwdhxkhw/edit?usp=sharing"",""นครนายก!I485"")"),0)</f>
        <v>0</v>
      </c>
      <c r="J590" s="188">
        <f ca="1">IFERROR(__xludf.DUMMYFUNCTION("IMPORTRANGE(""https://docs.google.com/spreadsheets/d/1SX6NBoVAgQJ6U1MVXOaj8PK2l7WJ3RER9xtqwdhxkhw/edit?usp=sharing"",""นครนายก!J485"")"),0)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IFERROR(__xludf.DUMMYFUNCTION("IMPORTRANGE(""https://docs.google.com/spreadsheets/d/1SX6NBoVAgQJ6U1MVXOaj8PK2l7WJ3RER9xtqwdhxkhw/edit?usp=sharing"",""นครนายก!I486"")"),0)</f>
        <v>0</v>
      </c>
      <c r="J591" s="188">
        <f ca="1">IFERROR(__xludf.DUMMYFUNCTION("IMPORTRANGE(""https://docs.google.com/spreadsheets/d/1SX6NBoVAgQJ6U1MVXOaj8PK2l7WJ3RER9xtqwdhxkhw/edit?usp=sharing"",""นครนายก!J486"")"),0)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IFERROR(__xludf.DUMMYFUNCTION("IMPORTRANGE(""https://docs.google.com/spreadsheets/d/1SX6NBoVAgQJ6U1MVXOaj8PK2l7WJ3RER9xtqwdhxkhw/edit?usp=sharing"",""นครนายก!I487"")"),0)</f>
        <v>0</v>
      </c>
      <c r="J592" s="188">
        <f ca="1">IFERROR(__xludf.DUMMYFUNCTION("IMPORTRANGE(""https://docs.google.com/spreadsheets/d/1SX6NBoVAgQJ6U1MVXOaj8PK2l7WJ3RER9xtqwdhxkhw/edit?usp=sharing"",""นครนายก!J487"")"),0)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IFERROR(__xludf.DUMMYFUNCTION("IMPORTRANGE(""https://docs.google.com/spreadsheets/d/1SX6NBoVAgQJ6U1MVXOaj8PK2l7WJ3RER9xtqwdhxkhw/edit?usp=sharing"",""นครนายก!I488"")"),0)</f>
        <v>0</v>
      </c>
      <c r="J593" s="188">
        <f ca="1">IFERROR(__xludf.DUMMYFUNCTION("IMPORTRANGE(""https://docs.google.com/spreadsheets/d/1SX6NBoVAgQJ6U1MVXOaj8PK2l7WJ3RER9xtqwdhxkhw/edit?usp=sharing"",""นครนายก!J488"")"),0)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IFERROR(__xludf.DUMMYFUNCTION("IMPORTRANGE(""https://docs.google.com/spreadsheets/d/1SX6NBoVAgQJ6U1MVXOaj8PK2l7WJ3RER9xtqwdhxkhw/edit?usp=sharing"",""นครนายก!I489"")"),0)</f>
        <v>0</v>
      </c>
      <c r="J594" s="188">
        <f ca="1">IFERROR(__xludf.DUMMYFUNCTION("IMPORTRANGE(""https://docs.google.com/spreadsheets/d/1SX6NBoVAgQJ6U1MVXOaj8PK2l7WJ3RER9xtqwdhxkhw/edit?usp=sharing"",""นครนายก!J489"")"),0)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IFERROR(__xludf.DUMMYFUNCTION("IMPORTRANGE(""https://docs.google.com/spreadsheets/d/1SX6NBoVAgQJ6U1MVXOaj8PK2l7WJ3RER9xtqwdhxkhw/edit?usp=sharing"",""นครนายก!I490"")"),0)</f>
        <v>0</v>
      </c>
      <c r="J595" s="188">
        <f ca="1">IFERROR(__xludf.DUMMYFUNCTION("IMPORTRANGE(""https://docs.google.com/spreadsheets/d/1SX6NBoVAgQJ6U1MVXOaj8PK2l7WJ3RER9xtqwdhxkhw/edit?usp=sharing"",""นครนายก!J490"")"),0)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IFERROR(__xludf.DUMMYFUNCTION("IMPORTRANGE(""https://docs.google.com/spreadsheets/d/1SX6NBoVAgQJ6U1MVXOaj8PK2l7WJ3RER9xtqwdhxkhw/edit?usp=sharing"",""นครนายก!I491"")"),0)</f>
        <v>0</v>
      </c>
      <c r="J596" s="241">
        <f ca="1">IFERROR(__xludf.DUMMYFUNCTION("IMPORTRANGE(""https://docs.google.com/spreadsheets/d/1SX6NBoVAgQJ6U1MVXOaj8PK2l7WJ3RER9xtqwdhxkhw/edit?usp=sharing"",""นครนายก!J491"")"),0)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IFERROR(__xludf.DUMMYFUNCTION("IMPORTRANGE(""https://docs.google.com/spreadsheets/d/1SX6NBoVAgQJ6U1MVXOaj8PK2l7WJ3RER9xtqwdhxkhw/edit?usp=sharing"",""นครนายก!I492"")"),50)</f>
        <v>50</v>
      </c>
      <c r="J597" s="487">
        <f ca="1">IFERROR(__xludf.DUMMYFUNCTION("IMPORTRANGE(""https://docs.google.com/spreadsheets/d/1SX6NBoVAgQJ6U1MVXOaj8PK2l7WJ3RER9xtqwdhxkhw/edit?usp=sharing"",""นครนายก!J492"")"),0)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IFERROR(__xludf.DUMMYFUNCTION("IMPORTRANGE(""https://docs.google.com/spreadsheets/d/1SX6NBoVAgQJ6U1MVXOaj8PK2l7WJ3RER9xtqwdhxkhw/edit?usp=sharing"",""นครนายก!L492"")"),6950)</f>
        <v>6950</v>
      </c>
      <c r="M597" s="412"/>
      <c r="N597" s="412">
        <f ca="1">IFERROR(__xludf.DUMMYFUNCTION("IMPORTRANGE(""https://docs.google.com/spreadsheets/d/1SX6NBoVAgQJ6U1MVXOaj8PK2l7WJ3RER9xtqwdhxkhw/edit?usp=sharing"",""นครนายก!M492"")"),0)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IFERROR(__xludf.DUMMYFUNCTION("IMPORTRANGE(""https://docs.google.com/spreadsheets/d/1SX6NBoVAgQJ6U1MVXOaj8PK2l7WJ3RER9xtqwdhxkhw/edit?usp=sharing"",""นครนายก!L493"")"),0)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IFERROR(__xludf.DUMMYFUNCTION("IMPORTRANGE(""https://docs.google.com/spreadsheets/d/1SX6NBoVAgQJ6U1MVXOaj8PK2l7WJ3RER9xtqwdhxkhw/edit?usp=sharing"",""นครนายก!M493"")"),0)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IFERROR(__xludf.DUMMYFUNCTION("IMPORTRANGE(""https://docs.google.com/spreadsheets/d/1SX6NBoVAgQJ6U1MVXOaj8PK2l7WJ3RER9xtqwdhxkhw/edit?usp=sharing"",""นครนายก!L494"")"),6950)</f>
        <v>6950</v>
      </c>
      <c r="M599" s="165"/>
      <c r="N599" s="169">
        <f ca="1">IFERROR(__xludf.DUMMYFUNCTION("IMPORTRANGE(""https://docs.google.com/spreadsheets/d/1SX6NBoVAgQJ6U1MVXOaj8PK2l7WJ3RER9xtqwdhxkhw/edit?usp=sharing"",""นครนายก!M494"")"),0)</f>
        <v>0</v>
      </c>
      <c r="O599" s="169">
        <f t="shared" ca="1" si="126"/>
        <v>0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IFERROR(__xludf.DUMMYFUNCTION("IMPORTRANGE(""https://docs.google.com/spreadsheets/d/1SX6NBoVAgQJ6U1MVXOaj8PK2l7WJ3RER9xtqwdhxkhw/edit?usp=sharing"",""นครนายก!L495"")"),0)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IFERROR(__xludf.DUMMYFUNCTION("IMPORTRANGE(""https://docs.google.com/spreadsheets/d/1SX6NBoVAgQJ6U1MVXOaj8PK2l7WJ3RER9xtqwdhxkhw/edit?usp=sharing"",""นครนายก!M495"")"),0)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IFERROR(__xludf.DUMMYFUNCTION("IMPORTRANGE(""https://docs.google.com/spreadsheets/d/1SX6NBoVAgQJ6U1MVXOaj8PK2l7WJ3RER9xtqwdhxkhw/edit?usp=sharing"",""นครนายก!L496"")"),6950)</f>
        <v>6950</v>
      </c>
      <c r="M601" s="169"/>
      <c r="N601" s="169">
        <f ca="1">IFERROR(__xludf.DUMMYFUNCTION("IMPORTRANGE(""https://docs.google.com/spreadsheets/d/1SX6NBoVAgQJ6U1MVXOaj8PK2l7WJ3RER9xtqwdhxkhw/edit?usp=sharing"",""นครนายก!M496"")"),0)</f>
        <v>0</v>
      </c>
      <c r="O601" s="169">
        <f t="shared" ca="1" si="126"/>
        <v>0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IFERROR(__xludf.DUMMYFUNCTION("IMPORTRANGE(""https://docs.google.com/spreadsheets/d/1SX6NBoVAgQJ6U1MVXOaj8PK2l7WJ3RER9xtqwdhxkhw/edit?usp=sharing"",""นครนายก!M497"")"),0)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IFERROR(__xludf.DUMMYFUNCTION("IMPORTRANGE(""https://docs.google.com/spreadsheets/d/1SX6NBoVAgQJ6U1MVXOaj8PK2l7WJ3RER9xtqwdhxkhw/edit?usp=sharing"",""นครนายก!M498"")"),0)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IFERROR(__xludf.DUMMYFUNCTION("IMPORTRANGE(""https://docs.google.com/spreadsheets/d/1SX6NBoVAgQJ6U1MVXOaj8PK2l7WJ3RER9xtqwdhxkhw/edit?usp=sharing"",""นครนายก!M499"")"),0)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IFERROR(__xludf.DUMMYFUNCTION("IMPORTRANGE(""https://docs.google.com/spreadsheets/d/1SX6NBoVAgQJ6U1MVXOaj8PK2l7WJ3RER9xtqwdhxkhw/edit?usp=sharing"",""นครนายก!M500"")"),0)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IFERROR(__xludf.DUMMYFUNCTION("IMPORTRANGE(""https://docs.google.com/spreadsheets/d/1SX6NBoVAgQJ6U1MVXOaj8PK2l7WJ3RER9xtqwdhxkhw/edit?usp=sharing"",""นครนายก!J502"")"),0)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IFERROR(__xludf.DUMMYFUNCTION("IMPORTRANGE(""https://docs.google.com/spreadsheets/d/1SX6NBoVAgQJ6U1MVXOaj8PK2l7WJ3RER9xtqwdhxkhw/edit?usp=sharing"",""นครนายก!J503"")"),0)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IFERROR(__xludf.DUMMYFUNCTION("IMPORTRANGE(""https://docs.google.com/spreadsheets/d/1SX6NBoVAgQJ6U1MVXOaj8PK2l7WJ3RER9xtqwdhxkhw/edit?usp=sharing"",""นครนายก!J166"")"),0)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IFERROR(__xludf.DUMMYFUNCTION("IMPORTRANGE(""https://docs.google.com/spreadsheets/d/1SX6NBoVAgQJ6U1MVXOaj8PK2l7WJ3RER9xtqwdhxkhw/edit?usp=sharing"",""นครนายก!J166"")"),0)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IFERROR(__xludf.DUMMYFUNCTION("IMPORTRANGE(""https://docs.google.com/spreadsheets/d/1SX6NBoVAgQJ6U1MVXOaj8PK2l7WJ3RER9xtqwdhxkhw/edit?usp=sharing"",""นครนายก!I506"")"),50)</f>
        <v>50</v>
      </c>
      <c r="J611" s="162">
        <f ca="1">IFERROR(__xludf.DUMMYFUNCTION("IMPORTRANGE(""https://docs.google.com/spreadsheets/d/1SX6NBoVAgQJ6U1MVXOaj8PK2l7WJ3RER9xtqwdhxkhw/edit?usp=sharing"",""นครนายก!J506"")"),0)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IFERROR(__xludf.DUMMYFUNCTION("IMPORTRANGE(""https://docs.google.com/spreadsheets/d/1SX6NBoVAgQJ6U1MVXOaj8PK2l7WJ3RER9xtqwdhxkhw/edit?usp=sharing"",""นครนายก!I507"")"),0)</f>
        <v>0</v>
      </c>
      <c r="J612" s="198">
        <f ca="1">IFERROR(__xludf.DUMMYFUNCTION("IMPORTRANGE(""https://docs.google.com/spreadsheets/d/1SX6NBoVAgQJ6U1MVXOaj8PK2l7WJ3RER9xtqwdhxkhw/edit?usp=sharing"",""นครนายก!J507"")"),0)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IFERROR(__xludf.DUMMYFUNCTION("IMPORTRANGE(""https://docs.google.com/spreadsheets/d/1SX6NBoVAgQJ6U1MVXOaj8PK2l7WJ3RER9xtqwdhxkhw/edit?usp=sharing"",""นครนายก!I508"")"),0)</f>
        <v>0</v>
      </c>
      <c r="J613" s="198">
        <f ca="1">IFERROR(__xludf.DUMMYFUNCTION("IMPORTRANGE(""https://docs.google.com/spreadsheets/d/1SX6NBoVAgQJ6U1MVXOaj8PK2l7WJ3RER9xtqwdhxkhw/edit?usp=sharing"",""นครนายก!J508"")"),0)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IFERROR(__xludf.DUMMYFUNCTION("IMPORTRANGE(""https://docs.google.com/spreadsheets/d/1SX6NBoVAgQJ6U1MVXOaj8PK2l7WJ3RER9xtqwdhxkhw/edit?usp=sharing"",""นครนายก!I509"")"),0)</f>
        <v>0</v>
      </c>
      <c r="J614" s="198">
        <f ca="1">IFERROR(__xludf.DUMMYFUNCTION("IMPORTRANGE(""https://docs.google.com/spreadsheets/d/1SX6NBoVAgQJ6U1MVXOaj8PK2l7WJ3RER9xtqwdhxkhw/edit?usp=sharing"",""นครนายก!J509"")"),0)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IFERROR(__xludf.DUMMYFUNCTION("IMPORTRANGE(""https://docs.google.com/spreadsheets/d/1SX6NBoVAgQJ6U1MVXOaj8PK2l7WJ3RER9xtqwdhxkhw/edit?usp=sharing"",""นครนายก!I510"")"),0)</f>
        <v>0</v>
      </c>
      <c r="J615" s="198">
        <f ca="1">IFERROR(__xludf.DUMMYFUNCTION("IMPORTRANGE(""https://docs.google.com/spreadsheets/d/1SX6NBoVAgQJ6U1MVXOaj8PK2l7WJ3RER9xtqwdhxkhw/edit?usp=sharing"",""นครนายก!J510"")"),0)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IFERROR(__xludf.DUMMYFUNCTION("IMPORTRANGE(""https://docs.google.com/spreadsheets/d/1SX6NBoVAgQJ6U1MVXOaj8PK2l7WJ3RER9xtqwdhxkhw/edit?usp=sharing"",""นครนายก!I511"")"),0)</f>
        <v>0</v>
      </c>
      <c r="J616" s="198">
        <f ca="1">IFERROR(__xludf.DUMMYFUNCTION("IMPORTRANGE(""https://docs.google.com/spreadsheets/d/1SX6NBoVAgQJ6U1MVXOaj8PK2l7WJ3RER9xtqwdhxkhw/edit?usp=sharing"",""นครนายก!J511"")"),0)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IFERROR(__xludf.DUMMYFUNCTION("IMPORTRANGE(""https://docs.google.com/spreadsheets/d/1SX6NBoVAgQJ6U1MVXOaj8PK2l7WJ3RER9xtqwdhxkhw/edit?usp=sharing"",""นครนายก!I512"")"),0)</f>
        <v>0</v>
      </c>
      <c r="J617" s="188">
        <f ca="1">IFERROR(__xludf.DUMMYFUNCTION("IMPORTRANGE(""https://docs.google.com/spreadsheets/d/1SX6NBoVAgQJ6U1MVXOaj8PK2l7WJ3RER9xtqwdhxkhw/edit?usp=sharing"",""นครนายก!J512"")"),0)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IFERROR(__xludf.DUMMYFUNCTION("IMPORTRANGE(""https://docs.google.com/spreadsheets/d/1SX6NBoVAgQJ6U1MVXOaj8PK2l7WJ3RER9xtqwdhxkhw/edit?usp=sharing"",""นครนายก!I513"")"),0)</f>
        <v>0</v>
      </c>
      <c r="J618" s="189">
        <f ca="1">IFERROR(__xludf.DUMMYFUNCTION("IMPORTRANGE(""https://docs.google.com/spreadsheets/d/1SX6NBoVAgQJ6U1MVXOaj8PK2l7WJ3RER9xtqwdhxkhw/edit?usp=sharing"",""นครนายก!J513"")"),0)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IFERROR(__xludf.DUMMYFUNCTION("IMPORTRANGE(""https://docs.google.com/spreadsheets/d/1SX6NBoVAgQJ6U1MVXOaj8PK2l7WJ3RER9xtqwdhxkhw/edit?usp=sharing"",""นครนายก!I514"")"),0)</f>
        <v>0</v>
      </c>
      <c r="J619" s="189">
        <f ca="1">IFERROR(__xludf.DUMMYFUNCTION("IMPORTRANGE(""https://docs.google.com/spreadsheets/d/1SX6NBoVAgQJ6U1MVXOaj8PK2l7WJ3RER9xtqwdhxkhw/edit?usp=sharing"",""นครนายก!J514"")"),0)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IFERROR(__xludf.DUMMYFUNCTION("IMPORTRANGE(""https://docs.google.com/spreadsheets/d/1SX6NBoVAgQJ6U1MVXOaj8PK2l7WJ3RER9xtqwdhxkhw/edit?usp=sharing"",""นครนายก!I515"")"),0)</f>
        <v>0</v>
      </c>
      <c r="J620" s="203">
        <f ca="1">IFERROR(__xludf.DUMMYFUNCTION("IMPORTRANGE(""https://docs.google.com/spreadsheets/d/1SX6NBoVAgQJ6U1MVXOaj8PK2l7WJ3RER9xtqwdhxkhw/edit?usp=sharing"",""นครนายก!J515"")"),0)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IFERROR(__xludf.DUMMYFUNCTION("IMPORTRANGE(""https://docs.google.com/spreadsheets/d/1SX6NBoVAgQJ6U1MVXOaj8PK2l7WJ3RER9xtqwdhxkhw/edit?usp=sharing"",""นครนายก!I516"")"),0)</f>
        <v>0</v>
      </c>
      <c r="J621" s="203">
        <f ca="1">IFERROR(__xludf.DUMMYFUNCTION("IMPORTRANGE(""https://docs.google.com/spreadsheets/d/1SX6NBoVAgQJ6U1MVXOaj8PK2l7WJ3RER9xtqwdhxkhw/edit?usp=sharing"",""นครนายก!J516"")"),0)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IFERROR(__xludf.DUMMYFUNCTION("IMPORTRANGE(""https://docs.google.com/spreadsheets/d/1SX6NBoVAgQJ6U1MVXOaj8PK2l7WJ3RER9xtqwdhxkhw/edit?usp=sharing"",""นครนายก!I517"")"),0)</f>
        <v>0</v>
      </c>
      <c r="J622" s="189">
        <f ca="1">IFERROR(__xludf.DUMMYFUNCTION("IMPORTRANGE(""https://docs.google.com/spreadsheets/d/1SX6NBoVAgQJ6U1MVXOaj8PK2l7WJ3RER9xtqwdhxkhw/edit?usp=sharing"",""นครนายก!J517"")"),0)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IFERROR(__xludf.DUMMYFUNCTION("IMPORTRANGE(""https://docs.google.com/spreadsheets/d/1SX6NBoVAgQJ6U1MVXOaj8PK2l7WJ3RER9xtqwdhxkhw/edit?usp=sharing"",""นครนายก!I518"")"),0)</f>
        <v>0</v>
      </c>
      <c r="J623" s="189">
        <f ca="1">IFERROR(__xludf.DUMMYFUNCTION("IMPORTRANGE(""https://docs.google.com/spreadsheets/d/1SX6NBoVAgQJ6U1MVXOaj8PK2l7WJ3RER9xtqwdhxkhw/edit?usp=sharing"",""นครนายก!J518"")"),0)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IFERROR(__xludf.DUMMYFUNCTION("IMPORTRANGE(""https://docs.google.com/spreadsheets/d/1SX6NBoVAgQJ6U1MVXOaj8PK2l7WJ3RER9xtqwdhxkhw/edit?usp=sharing"",""นครนายก!I519"")"),0)</f>
        <v>0</v>
      </c>
      <c r="J624" s="188">
        <f ca="1">IFERROR(__xludf.DUMMYFUNCTION("IMPORTRANGE(""https://docs.google.com/spreadsheets/d/1SX6NBoVAgQJ6U1MVXOaj8PK2l7WJ3RER9xtqwdhxkhw/edit?usp=sharing"",""นครนายก!J519"")"),0)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IFERROR(__xludf.DUMMYFUNCTION("IMPORTRANGE(""https://docs.google.com/spreadsheets/d/1SX6NBoVAgQJ6U1MVXOaj8PK2l7WJ3RER9xtqwdhxkhw/edit?usp=sharing"",""นครนายก!I520"")"),0)</f>
        <v>0</v>
      </c>
      <c r="J625" s="189">
        <f ca="1">IFERROR(__xludf.DUMMYFUNCTION("IMPORTRANGE(""https://docs.google.com/spreadsheets/d/1SX6NBoVAgQJ6U1MVXOaj8PK2l7WJ3RER9xtqwdhxkhw/edit?usp=sharing"",""นครนายก!J520"")"),0)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IFERROR(__xludf.DUMMYFUNCTION("IMPORTRANGE(""https://docs.google.com/spreadsheets/d/1SX6NBoVAgQJ6U1MVXOaj8PK2l7WJ3RER9xtqwdhxkhw/edit?usp=sharing"",""นครนายก!I521"")"),0)</f>
        <v>0</v>
      </c>
      <c r="J626" s="189">
        <f ca="1">IFERROR(__xludf.DUMMYFUNCTION("IMPORTRANGE(""https://docs.google.com/spreadsheets/d/1SX6NBoVAgQJ6U1MVXOaj8PK2l7WJ3RER9xtqwdhxkhw/edit?usp=sharing"",""นครนายก!J521"")"),0)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IFERROR(__xludf.DUMMYFUNCTION("IMPORTRANGE(""https://docs.google.com/spreadsheets/d/1SX6NBoVAgQJ6U1MVXOaj8PK2l7WJ3RER9xtqwdhxkhw/edit?usp=sharing"",""นครนายก!I523"")"),3031999.6)</f>
        <v>3031999.6</v>
      </c>
      <c r="J628" s="341">
        <f ca="1">IFERROR(__xludf.DUMMYFUNCTION("IMPORTRANGE(""https://docs.google.com/spreadsheets/d/1SX6NBoVAgQJ6U1MVXOaj8PK2l7WJ3RER9xtqwdhxkhw/edit?usp=sharing"",""นครนายก!J523"")"),1705912.75)</f>
        <v>1705912.75</v>
      </c>
      <c r="K628" s="342">
        <f t="shared" ref="K628:K635" ca="1" si="129">IF(I628&gt;0,J628*100/I628,0)</f>
        <v>56.263620549290309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IFERROR(__xludf.DUMMYFUNCTION("IMPORTRANGE(""https://docs.google.com/spreadsheets/d/1SX6NBoVAgQJ6U1MVXOaj8PK2l7WJ3RER9xtqwdhxkhw/edit?usp=sharing"",""นครนายก!I524"")"),113)</f>
        <v>113</v>
      </c>
      <c r="J629" s="341">
        <f ca="1">IFERROR(__xludf.DUMMYFUNCTION("IMPORTRANGE(""https://docs.google.com/spreadsheets/d/1SX6NBoVAgQJ6U1MVXOaj8PK2l7WJ3RER9xtqwdhxkhw/edit?usp=sharing"",""นครนายก!J524"")"),63)</f>
        <v>63</v>
      </c>
      <c r="K629" s="342">
        <f t="shared" ca="1" si="129"/>
        <v>55.752212389380531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IFERROR(__xludf.DUMMYFUNCTION("IMPORTRANGE(""https://docs.google.com/spreadsheets/d/1SX6NBoVAgQJ6U1MVXOaj8PK2l7WJ3RER9xtqwdhxkhw/edit?usp=sharing"",""นครนายก!I525"")"),3755607.57)</f>
        <v>3755607.57</v>
      </c>
      <c r="J630" s="341">
        <f ca="1">IFERROR(__xludf.DUMMYFUNCTION("IMPORTRANGE(""https://docs.google.com/spreadsheets/d/1SX6NBoVAgQJ6U1MVXOaj8PK2l7WJ3RER9xtqwdhxkhw/edit?usp=sharing"",""นครนายก!J525"")"),52182.56)</f>
        <v>52182.559999999998</v>
      </c>
      <c r="K630" s="342">
        <f t="shared" ca="1" si="129"/>
        <v>1.3894572057218428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IFERROR(__xludf.DUMMYFUNCTION("IMPORTRANGE(""https://docs.google.com/spreadsheets/d/1SX6NBoVAgQJ6U1MVXOaj8PK2l7WJ3RER9xtqwdhxkhw/edit?usp=sharing"",""นครนายก!I526"")"),108)</f>
        <v>108</v>
      </c>
      <c r="J631" s="341">
        <f ca="1">IFERROR(__xludf.DUMMYFUNCTION("IMPORTRANGE(""https://docs.google.com/spreadsheets/d/1SX6NBoVAgQJ6U1MVXOaj8PK2l7WJ3RER9xtqwdhxkhw/edit?usp=sharing"",""นครนายก!J526"")"),13)</f>
        <v>13</v>
      </c>
      <c r="K631" s="342">
        <f t="shared" ca="1" si="129"/>
        <v>12.037037037037036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IFERROR(__xludf.DUMMYFUNCTION("IMPORTRANGE(""https://docs.google.com/spreadsheets/d/1SX6NBoVAgQJ6U1MVXOaj8PK2l7WJ3RER9xtqwdhxkhw/edit?usp=sharing"",""นครนายก!I527"")"),5812479.85)</f>
        <v>5812479.8499999996</v>
      </c>
      <c r="J632" s="341">
        <f ca="1">IFERROR(__xludf.DUMMYFUNCTION("IMPORTRANGE(""https://docs.google.com/spreadsheets/d/1SX6NBoVAgQJ6U1MVXOaj8PK2l7WJ3RER9xtqwdhxkhw/edit?usp=sharing"",""นครนายก!J527"")"),1714628.86)</f>
        <v>1714628.86</v>
      </c>
      <c r="K632" s="342">
        <f t="shared" ca="1" si="129"/>
        <v>29.499093403308745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IFERROR(__xludf.DUMMYFUNCTION("IMPORTRANGE(""https://docs.google.com/spreadsheets/d/1SX6NBoVAgQJ6U1MVXOaj8PK2l7WJ3RER9xtqwdhxkhw/edit?usp=sharing"",""นครนายก!I528"")"),2019)</f>
        <v>2019</v>
      </c>
      <c r="J633" s="341">
        <f ca="1">IFERROR(__xludf.DUMMYFUNCTION("IMPORTRANGE(""https://docs.google.com/spreadsheets/d/1SX6NBoVAgQJ6U1MVXOaj8PK2l7WJ3RER9xtqwdhxkhw/edit?usp=sharing"",""นครนายก!J528"")"),790)</f>
        <v>790</v>
      </c>
      <c r="K633" s="342">
        <f t="shared" ca="1" si="129"/>
        <v>39.1282813273898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IFERROR(__xludf.DUMMYFUNCTION("IMPORTRANGE(""https://docs.google.com/spreadsheets/d/1SX6NBoVAgQJ6U1MVXOaj8PK2l7WJ3RER9xtqwdhxkhw/edit?usp=sharing"",""นครนายก!I529"")"),2000000)</f>
        <v>2000000</v>
      </c>
      <c r="J634" s="341">
        <f ca="1">IFERROR(__xludf.DUMMYFUNCTION("IMPORTRANGE(""https://docs.google.com/spreadsheets/d/1SX6NBoVAgQJ6U1MVXOaj8PK2l7WJ3RER9xtqwdhxkhw/edit?usp=sharing"",""นครนายก!J529"")"),1670000)</f>
        <v>1670000</v>
      </c>
      <c r="K634" s="342">
        <f t="shared" ca="1" si="129"/>
        <v>83.5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IFERROR(__xludf.DUMMYFUNCTION("IMPORTRANGE(""https://docs.google.com/spreadsheets/d/1SX6NBoVAgQJ6U1MVXOaj8PK2l7WJ3RER9xtqwdhxkhw/edit?usp=sharing"",""นครนายก!I530"")"),60)</f>
        <v>60</v>
      </c>
      <c r="J635" s="504">
        <f ca="1">IFERROR(__xludf.DUMMYFUNCTION("IMPORTRANGE(""https://docs.google.com/spreadsheets/d/1SX6NBoVAgQJ6U1MVXOaj8PK2l7WJ3RER9xtqwdhxkhw/edit?usp=sharing"",""นครนายก!J530"")"),57)</f>
        <v>57</v>
      </c>
      <c r="K635" s="486">
        <f t="shared" ca="1" si="129"/>
        <v>95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I556" sqref="I55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252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2426755</v>
      </c>
      <c r="M8" s="23">
        <f t="shared" ca="1" si="0"/>
        <v>1627685.1400000001</v>
      </c>
      <c r="N8" s="23">
        <f t="shared" ca="1" si="0"/>
        <v>1277290.8400000001</v>
      </c>
      <c r="O8" s="22">
        <f t="shared" ref="O8:O16" ca="1" si="1">IF(L8&gt;0,N8*100/L8,0)</f>
        <v>52.633695614101967</v>
      </c>
      <c r="P8" s="22">
        <f t="shared" ref="P8:P16" ca="1" si="2">IF(M8&gt;0,N8*100/M8,0)</f>
        <v>78.472845184296517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2426755</v>
      </c>
      <c r="M10" s="30">
        <f t="shared" ca="1" si="4"/>
        <v>1627685.1400000001</v>
      </c>
      <c r="N10" s="30">
        <f t="shared" ca="1" si="4"/>
        <v>1277290.8400000001</v>
      </c>
      <c r="O10" s="29">
        <f t="shared" ca="1" si="1"/>
        <v>52.633695614101967</v>
      </c>
      <c r="P10" s="29">
        <f t="shared" ca="1" si="2"/>
        <v>78.472845184296517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2284205</v>
      </c>
      <c r="M12" s="38">
        <f t="shared" ca="1" si="6"/>
        <v>1485135.1400000001</v>
      </c>
      <c r="N12" s="38">
        <f t="shared" ca="1" si="6"/>
        <v>1134740.8400000001</v>
      </c>
      <c r="O12" s="38">
        <f t="shared" ca="1" si="1"/>
        <v>49.677714565899301</v>
      </c>
      <c r="P12" s="38">
        <f t="shared" ca="1" si="2"/>
        <v>76.406571323872924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1468000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816205</v>
      </c>
      <c r="M14" s="38">
        <f t="shared" si="8"/>
        <v>0</v>
      </c>
      <c r="N14" s="38">
        <f t="shared" ca="1" si="8"/>
        <v>218610.72</v>
      </c>
      <c r="O14" s="38">
        <f t="shared" ca="1" si="1"/>
        <v>26.783800638320031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142550</v>
      </c>
      <c r="M16" s="38">
        <f t="shared" ca="1" si="10"/>
        <v>142550</v>
      </c>
      <c r="N16" s="38">
        <f t="shared" ca="1" si="10"/>
        <v>142550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2067155</v>
      </c>
      <c r="M18" s="23">
        <f t="shared" ca="1" si="11"/>
        <v>1627685.1400000001</v>
      </c>
      <c r="N18" s="23">
        <f t="shared" ca="1" si="11"/>
        <v>1058680.1200000001</v>
      </c>
      <c r="O18" s="22">
        <f t="shared" ref="O18:O20" ca="1" si="12">IF(L18&gt;0,N18*100/L18,0)</f>
        <v>51.214355962663667</v>
      </c>
      <c r="P18" s="22">
        <f t="shared" ref="P18:P26" ca="1" si="13">IF(M18&gt;0,N18*100/M18,0)</f>
        <v>65.042070728740569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2067155</v>
      </c>
      <c r="M20" s="30">
        <f t="shared" ca="1" si="15"/>
        <v>1627685.1400000001</v>
      </c>
      <c r="N20" s="30">
        <f t="shared" ca="1" si="15"/>
        <v>1058680.1200000001</v>
      </c>
      <c r="O20" s="29">
        <f t="shared" ca="1" si="12"/>
        <v>51.214355962663667</v>
      </c>
      <c r="P20" s="29">
        <f t="shared" ca="1" si="13"/>
        <v>65.042070728740569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1924605</v>
      </c>
      <c r="M22" s="41">
        <f t="shared" ca="1" si="18"/>
        <v>1485135.1400000001</v>
      </c>
      <c r="N22" s="38">
        <f t="shared" ca="1" si="18"/>
        <v>916130.12</v>
      </c>
      <c r="O22" s="38">
        <f t="shared" ca="1" si="17"/>
        <v>47.600942531064817</v>
      </c>
      <c r="P22" s="38">
        <f t="shared" ca="1" si="13"/>
        <v>61.686650280189312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1468000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456605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142550</v>
      </c>
      <c r="M26" s="49">
        <f t="shared" ca="1" si="22"/>
        <v>142550</v>
      </c>
      <c r="N26" s="49">
        <f t="shared" ca="1" si="22"/>
        <v>142550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359600</v>
      </c>
      <c r="M28" s="23">
        <f t="shared" si="23"/>
        <v>0</v>
      </c>
      <c r="N28" s="23">
        <f t="shared" ca="1" si="23"/>
        <v>218610.72</v>
      </c>
      <c r="O28" s="22">
        <f t="shared" ref="O28:O30" ca="1" si="24">IF(L28&gt;0,N28*100/L28,0)</f>
        <v>60.792747497219132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359600</v>
      </c>
      <c r="M30" s="30">
        <f t="shared" si="27"/>
        <v>0</v>
      </c>
      <c r="N30" s="30">
        <f t="shared" ca="1" si="27"/>
        <v>218610.72</v>
      </c>
      <c r="O30" s="29">
        <f t="shared" ca="1" si="24"/>
        <v>60.792747497219132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359600</v>
      </c>
      <c r="M32" s="38">
        <f t="shared" si="30"/>
        <v>0</v>
      </c>
      <c r="N32" s="38">
        <f t="shared" ca="1" si="30"/>
        <v>218610.72</v>
      </c>
      <c r="O32" s="38">
        <f t="shared" ca="1" si="29"/>
        <v>60.792747497219132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359600</v>
      </c>
      <c r="M34" s="38">
        <f t="shared" si="32"/>
        <v>0</v>
      </c>
      <c r="N34" s="38">
        <f t="shared" ca="1" si="32"/>
        <v>218610.72</v>
      </c>
      <c r="O34" s="38">
        <f t="shared" ca="1" si="29"/>
        <v>60.792747497219132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2067155</v>
      </c>
      <c r="M37" s="54">
        <f t="shared" ca="1" si="33"/>
        <v>1627685.1400000001</v>
      </c>
      <c r="N37" s="54">
        <f t="shared" ca="1" si="33"/>
        <v>1058680.1200000001</v>
      </c>
      <c r="O37" s="55">
        <f t="shared" ca="1" si="29"/>
        <v>51.214355962663667</v>
      </c>
      <c r="P37" s="55">
        <f t="shared" ca="1" si="25"/>
        <v>65.042070728740569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563300</v>
      </c>
      <c r="M41" s="78">
        <f t="shared" ca="1" si="34"/>
        <v>422500</v>
      </c>
      <c r="N41" s="78">
        <f t="shared" ca="1" si="34"/>
        <v>247088.73</v>
      </c>
      <c r="O41" s="77">
        <f t="shared" ref="O41:O43" ca="1" si="35">IF(L41&gt;0,N41*100/L41,0)</f>
        <v>43.864500266287948</v>
      </c>
      <c r="P41" s="77">
        <f t="shared" ref="P41:P43" ca="1" si="36">IF(M41&gt;0,N41*100/M41,0)</f>
        <v>58.482539644970416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563300</v>
      </c>
      <c r="M43" s="78">
        <f t="shared" ca="1" si="38"/>
        <v>422500</v>
      </c>
      <c r="N43" s="78">
        <f t="shared" ca="1" si="38"/>
        <v>247088.73</v>
      </c>
      <c r="O43" s="77">
        <f t="shared" ca="1" si="35"/>
        <v>43.864500266287948</v>
      </c>
      <c r="P43" s="77">
        <f t="shared" ca="1" si="36"/>
        <v>58.482539644970416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563300</v>
      </c>
      <c r="M45" s="49">
        <f ca="1">IFERROR(__xludf.DUMMYFUNCTION("IMPORTRANGE(""https://docs.google.com/spreadsheets/d/1Yj_ptqi66GCucihVvJfMjLAmec39IyEx_6qawtMGysU/edit?usp=sharing"",""สบก!Q66"")"),422500)</f>
        <v>422500</v>
      </c>
      <c r="N45" s="49">
        <f ca="1">IFERROR(__xludf.DUMMYFUNCTION("IMPORTRANGE(""https://docs.google.com/spreadsheets/d/1Yj_ptqi66GCucihVvJfMjLAmec39IyEx_6qawtMGysU/edit?usp=sharing"",""สบก!R66"")"),247088.73)</f>
        <v>247088.73</v>
      </c>
      <c r="O45" s="38">
        <f ca="1">IF(L45&gt;0,N45*100/L45,0)</f>
        <v>43.864500266287948</v>
      </c>
      <c r="P45" s="38">
        <f ca="1">IF(M45&gt;0,N45*100/M45,0)</f>
        <v>58.482539644970416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IFERROR(__xludf.DUMMYFUNCTION("IMPORTRANGE(""https://docs.google.com/spreadsheets/d/1Yj_ptqi66GCucihVvJfMjLAmec39IyEx_6qawtMGysU/edit?usp=sharing"",""สบก!M66"")"),563300)</f>
        <v>563300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IFERROR(__xludf.DUMMYFUNCTION("IMPORTRANGE(""https://docs.google.com/spreadsheets/d/1Yj_ptqi66GCucihVvJfMjLAmec39IyEx_6qawtMGysU/edit?usp=sharing"",""สบก!N66"")"),0)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IFERROR(__xludf.DUMMYFUNCTION("IMPORTRANGE(""https://docs.google.com/spreadsheets/d/1Yj_ptqi66GCucihVvJfMjLAmec39IyEx_6qawtMGysU/edit?usp=sharing"",""สบก!O66"")"),0)</f>
        <v>0</v>
      </c>
      <c r="M49" s="49"/>
      <c r="N49" s="49">
        <f ca="1">IFERROR(__xludf.DUMMYFUNCTION("IMPORTRANGE(""https://docs.google.com/spreadsheets/d/1Yj_ptqi66GCucihVvJfMjLAmec39IyEx_6qawtMGysU/edit?usp=sharing"",""สบก!S66"")"),0)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288000</v>
      </c>
      <c r="M53" s="121">
        <f t="shared" ca="1" si="39"/>
        <v>244855.14</v>
      </c>
      <c r="N53" s="121">
        <f t="shared" ca="1" si="39"/>
        <v>164272</v>
      </c>
      <c r="O53" s="120">
        <f t="shared" ref="O53:O55" ca="1" si="40">IF(L53&gt;0,N53*100/L53,0)</f>
        <v>57.038888888888891</v>
      </c>
      <c r="P53" s="120">
        <f t="shared" ref="P53:P55" ca="1" si="41">IF(M53&gt;0,N53*100/M53,0)</f>
        <v>67.089463590594832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288000</v>
      </c>
      <c r="M55" s="121">
        <f t="shared" ca="1" si="43"/>
        <v>244855.14</v>
      </c>
      <c r="N55" s="121">
        <f t="shared" ca="1" si="43"/>
        <v>164272</v>
      </c>
      <c r="O55" s="120">
        <f t="shared" ca="1" si="40"/>
        <v>57.038888888888891</v>
      </c>
      <c r="P55" s="120">
        <f t="shared" ca="1" si="41"/>
        <v>67.089463590594832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288000</v>
      </c>
      <c r="M57" s="49">
        <f ca="1">IFERROR(__xludf.DUMMYFUNCTION("IMPORTRANGE(""https://docs.google.com/spreadsheets/d/1Yj_ptqi66GCucihVvJfMjLAmec39IyEx_6qawtMGysU/edit?usp=sharing"",""สบก!Z66"")"),244855.14)</f>
        <v>244855.14</v>
      </c>
      <c r="N57" s="49">
        <f ca="1">IFERROR(__xludf.DUMMYFUNCTION("IMPORTRANGE(""https://docs.google.com/spreadsheets/d/1Yj_ptqi66GCucihVvJfMjLAmec39IyEx_6qawtMGysU/edit?usp=sharing"",""สบก!AA66"")"),164272)</f>
        <v>164272</v>
      </c>
      <c r="O57" s="38">
        <f ca="1">IF(L57&gt;0,N57*100/L57,0)</f>
        <v>57.038888888888891</v>
      </c>
      <c r="P57" s="38">
        <f ca="1">IF(M57&gt;0,N57*100/M57,0)</f>
        <v>67.089463590594832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IFERROR(__xludf.DUMMYFUNCTION("IMPORTRANGE(""https://docs.google.com/spreadsheets/d/1Yj_ptqi66GCucihVvJfMjLAmec39IyEx_6qawtMGysU/edit?usp=sharing"",""สบก!V66"")"),288000)</f>
        <v>288000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IFERROR(__xludf.DUMMYFUNCTION("IMPORTRANGE(""https://docs.google.com/spreadsheets/d/1Yj_ptqi66GCucihVvJfMjLAmec39IyEx_6qawtMGysU/edit?usp=sharing"",""สบก!W66"")"),0)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IFERROR(__xludf.DUMMYFUNCTION("IMPORTRANGE(""https://docs.google.com/spreadsheets/d/1Yj_ptqi66GCucihVvJfMjLAmec39IyEx_6qawtMGysU/edit?usp=sharing"",""สบก!X66"")"),0)</f>
        <v>0</v>
      </c>
      <c r="M61" s="49"/>
      <c r="N61" s="49">
        <f ca="1">IFERROR(__xludf.DUMMYFUNCTION("IMPORTRANGE(""https://docs.google.com/spreadsheets/d/1Yj_ptqi66GCucihVvJfMjLAmec39IyEx_6qawtMGysU/edit?usp=sharing"",""สบก!AB66"")"),0)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IFERROR(__xludf.DUMMYFUNCTION("IMPORTRANGE(""https://docs.google.com/spreadsheets/d/1SX6NBoVAgQJ6U1MVXOaj8PK2l7WJ3RER9xtqwdhxkhw/edit?usp=sharing"",""นครปฐม!I9"")"),0)</f>
        <v>0</v>
      </c>
      <c r="J64" s="142">
        <f ca="1">IFERROR(__xludf.DUMMYFUNCTION("IMPORTRANGE(""https://docs.google.com/spreadsheets/d/1SX6NBoVAgQJ6U1MVXOaj8PK2l7WJ3RER9xtqwdhxkhw/edit?usp=sharing"",""นครปฐม!J9"")"),0)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IFERROR(__xludf.DUMMYFUNCTION("IMPORTRANGE(""https://docs.google.com/spreadsheets/d/1SX6NBoVAgQJ6U1MVXOaj8PK2l7WJ3RER9xtqwdhxkhw/edit?usp=sharing"",""นครปฐม!I10"")"),0)</f>
        <v>0</v>
      </c>
      <c r="J65" s="142">
        <f ca="1">IFERROR(__xludf.DUMMYFUNCTION("IMPORTRANGE(""https://docs.google.com/spreadsheets/d/1SX6NBoVAgQJ6U1MVXOaj8PK2l7WJ3RER9xtqwdhxkhw/edit?usp=sharing"",""นครปฐม!J10"")"),0)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IFERROR(__xludf.DUMMYFUNCTION("IMPORTRANGE(""https://docs.google.com/spreadsheets/d/1Yj_ptqi66GCucihVvJfMjLAmec39IyEx_6qawtMGysU/edit?usp=sharing"",""สบก!AI66"")"),0)</f>
        <v>0</v>
      </c>
      <c r="N70" s="169">
        <f ca="1">IFERROR(__xludf.DUMMYFUNCTION("IMPORTRANGE(""https://docs.google.com/spreadsheets/d/1Yj_ptqi66GCucihVvJfMjLAmec39IyEx_6qawtMGysU/edit?usp=sharing"",""สบก!AJ66"")"),0)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IFERROR(__xludf.DUMMYFUNCTION("IMPORTRANGE(""https://docs.google.com/spreadsheets/d/1Yj_ptqi66GCucihVvJfMjLAmec39IyEx_6qawtMGysU/edit?usp=sharing"",""สบก!AE66"")"),0)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IFERROR(__xludf.DUMMYFUNCTION("IMPORTRANGE(""https://docs.google.com/spreadsheets/d/1Yj_ptqi66GCucihVvJfMjLAmec39IyEx_6qawtMGysU/edit?usp=sharing"",""สบก!AF66"")"),0)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IFERROR(__xludf.DUMMYFUNCTION("IMPORTRANGE(""https://docs.google.com/spreadsheets/d/1Yj_ptqi66GCucihVvJfMjLAmec39IyEx_6qawtMGysU/edit?usp=sharing"",""สบก!AG66"")"),0)</f>
        <v>0</v>
      </c>
      <c r="M74" s="49"/>
      <c r="N74" s="49">
        <f ca="1">IFERROR(__xludf.DUMMYFUNCTION("IMPORTRANGE(""https://docs.google.com/spreadsheets/d/1Yj_ptqi66GCucihVvJfMjLAmec39IyEx_6qawtMGysU/edit?usp=sharing"",""สบก!AK66"")"),0)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IFERROR(__xludf.DUMMYFUNCTION("IMPORTRANGE(""https://docs.google.com/spreadsheets/d/1SX6NBoVAgQJ6U1MVXOaj8PK2l7WJ3RER9xtqwdhxkhw/edit?usp=sharing"",""นครปฐม!J16"")"),0)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IFERROR(__xludf.DUMMYFUNCTION("IMPORTRANGE(""https://docs.google.com/spreadsheets/d/1SX6NBoVAgQJ6U1MVXOaj8PK2l7WJ3RER9xtqwdhxkhw/edit?usp=sharing"",""นครปฐม!J17"")"),0)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IFERROR(__xludf.DUMMYFUNCTION("IMPORTRANGE(""https://docs.google.com/spreadsheets/d/1SX6NBoVAgQJ6U1MVXOaj8PK2l7WJ3RER9xtqwdhxkhw/edit?usp=sharing"",""นครปฐม!J18"")"),0)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IFERROR(__xludf.DUMMYFUNCTION("IMPORTRANGE(""https://docs.google.com/spreadsheets/d/1SX6NBoVAgQJ6U1MVXOaj8PK2l7WJ3RER9xtqwdhxkhw/edit?usp=sharing"",""นครปฐม!J19"")"),0)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IFERROR(__xludf.DUMMYFUNCTION("IMPORTRANGE(""https://docs.google.com/spreadsheets/d/1SX6NBoVAgQJ6U1MVXOaj8PK2l7WJ3RER9xtqwdhxkhw/edit?usp=sharing"",""นครปฐม!I20"")"),0)</f>
        <v>0</v>
      </c>
      <c r="J80" s="201">
        <f ca="1">IFERROR(__xludf.DUMMYFUNCTION("IMPORTRANGE(""https://docs.google.com/spreadsheets/d/1SX6NBoVAgQJ6U1MVXOaj8PK2l7WJ3RER9xtqwdhxkhw/edit?usp=sharing"",""นครปฐม!J20"")"),0)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IFERROR(__xludf.DUMMYFUNCTION("IMPORTRANGE(""https://docs.google.com/spreadsheets/d/1SX6NBoVAgQJ6U1MVXOaj8PK2l7WJ3RER9xtqwdhxkhw/edit?usp=sharing"",""นครปฐม!I21"")"),0)</f>
        <v>0</v>
      </c>
      <c r="J81" s="201">
        <f ca="1">IFERROR(__xludf.DUMMYFUNCTION("IMPORTRANGE(""https://docs.google.com/spreadsheets/d/1SX6NBoVAgQJ6U1MVXOaj8PK2l7WJ3RER9xtqwdhxkhw/edit?usp=sharing"",""นครปฐม!J21"")"),0)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IFERROR(__xludf.DUMMYFUNCTION("IMPORTRANGE(""https://docs.google.com/spreadsheets/d/1SX6NBoVAgQJ6U1MVXOaj8PK2l7WJ3RER9xtqwdhxkhw/edit?usp=sharing"",""นครปฐม!I22"")"),0)</f>
        <v>0</v>
      </c>
      <c r="J82" s="204">
        <f ca="1">IFERROR(__xludf.DUMMYFUNCTION("IMPORTRANGE(""https://docs.google.com/spreadsheets/d/1SX6NBoVAgQJ6U1MVXOaj8PK2l7WJ3RER9xtqwdhxkhw/edit?usp=sharing"",""นครปฐม!J22"")"),0)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IFERROR(__xludf.DUMMYFUNCTION("IMPORTRANGE(""https://docs.google.com/spreadsheets/d/1SX6NBoVAgQJ6U1MVXOaj8PK2l7WJ3RER9xtqwdhxkhw/edit?usp=sharing"",""นครปฐม!I23"")"),0)</f>
        <v>0</v>
      </c>
      <c r="J83" s="204">
        <f ca="1">IFERROR(__xludf.DUMMYFUNCTION("IMPORTRANGE(""https://docs.google.com/spreadsheets/d/1SX6NBoVAgQJ6U1MVXOaj8PK2l7WJ3RER9xtqwdhxkhw/edit?usp=sharing"",""นครปฐม!J23"")"),0)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IFERROR(__xludf.DUMMYFUNCTION("IMPORTRANGE(""https://docs.google.com/spreadsheets/d/1SX6NBoVAgQJ6U1MVXOaj8PK2l7WJ3RER9xtqwdhxkhw/edit?usp=sharing"",""นครปฐม!I24"")"),0)</f>
        <v>0</v>
      </c>
      <c r="J84" s="189">
        <f ca="1">IFERROR(__xludf.DUMMYFUNCTION("IMPORTRANGE(""https://docs.google.com/spreadsheets/d/1SX6NBoVAgQJ6U1MVXOaj8PK2l7WJ3RER9xtqwdhxkhw/edit?usp=sharing"",""นครปฐม!J24"")"),0)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IFERROR(__xludf.DUMMYFUNCTION("IMPORTRANGE(""https://docs.google.com/spreadsheets/d/1SX6NBoVAgQJ6U1MVXOaj8PK2l7WJ3RER9xtqwdhxkhw/edit?usp=sharing"",""นครปฐม!I25"")"),0)</f>
        <v>0</v>
      </c>
      <c r="J85" s="189">
        <f ca="1">IFERROR(__xludf.DUMMYFUNCTION("IMPORTRANGE(""https://docs.google.com/spreadsheets/d/1SX6NBoVAgQJ6U1MVXOaj8PK2l7WJ3RER9xtqwdhxkhw/edit?usp=sharing"",""นครปฐม!J25"")"),0)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IFERROR(__xludf.DUMMYFUNCTION("IMPORTRANGE(""https://docs.google.com/spreadsheets/d/1SX6NBoVAgQJ6U1MVXOaj8PK2l7WJ3RER9xtqwdhxkhw/edit?usp=sharing"",""นครปฐม!I26"")"),0)</f>
        <v>0</v>
      </c>
      <c r="J86" s="204">
        <f ca="1">IFERROR(__xludf.DUMMYFUNCTION("IMPORTRANGE(""https://docs.google.com/spreadsheets/d/1SX6NBoVAgQJ6U1MVXOaj8PK2l7WJ3RER9xtqwdhxkhw/edit?usp=sharing"",""นครปฐม!J26"")"),0)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IFERROR(__xludf.DUMMYFUNCTION("IMPORTRANGE(""https://docs.google.com/spreadsheets/d/1SX6NBoVAgQJ6U1MVXOaj8PK2l7WJ3RER9xtqwdhxkhw/edit?usp=sharing"",""นครปฐม!I27"")"),0)</f>
        <v>0</v>
      </c>
      <c r="J87" s="204">
        <f ca="1">IFERROR(__xludf.DUMMYFUNCTION("IMPORTRANGE(""https://docs.google.com/spreadsheets/d/1SX6NBoVAgQJ6U1MVXOaj8PK2l7WJ3RER9xtqwdhxkhw/edit?usp=sharing"",""นครปฐม!J27"")"),0)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IFERROR(__xludf.DUMMYFUNCTION("IMPORTRANGE(""https://docs.google.com/spreadsheets/d/1SX6NBoVAgQJ6U1MVXOaj8PK2l7WJ3RER9xtqwdhxkhw/edit?usp=sharing"",""นครปฐม!I28"")"),0)</f>
        <v>0</v>
      </c>
      <c r="J88" s="204">
        <f ca="1">IFERROR(__xludf.DUMMYFUNCTION("IMPORTRANGE(""https://docs.google.com/spreadsheets/d/1SX6NBoVAgQJ6U1MVXOaj8PK2l7WJ3RER9xtqwdhxkhw/edit?usp=sharing"",""นครปฐม!J28"")"),0)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IFERROR(__xludf.DUMMYFUNCTION("IMPORTRANGE(""https://docs.google.com/spreadsheets/d/1SX6NBoVAgQJ6U1MVXOaj8PK2l7WJ3RER9xtqwdhxkhw/edit?usp=sharing"",""นครปฐม!J29"")"),0)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IFERROR(__xludf.DUMMYFUNCTION("IMPORTRANGE(""https://docs.google.com/spreadsheets/d/1SX6NBoVAgQJ6U1MVXOaj8PK2l7WJ3RER9xtqwdhxkhw/edit?usp=sharing"",""นครปฐม!J30"")"),0)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IFERROR(__xludf.DUMMYFUNCTION("IMPORTRANGE(""https://docs.google.com/spreadsheets/d/1SX6NBoVAgQJ6U1MVXOaj8PK2l7WJ3RER9xtqwdhxkhw/edit?usp=sharing"",""นครปฐม!I32"")"),0)</f>
        <v>0</v>
      </c>
      <c r="J92" s="142">
        <f ca="1">IFERROR(__xludf.DUMMYFUNCTION("IMPORTRANGE(""https://docs.google.com/spreadsheets/d/1SX6NBoVAgQJ6U1MVXOaj8PK2l7WJ3RER9xtqwdhxkhw/edit?usp=sharing"",""นครปฐม!J32"")"),0)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IFERROR(__xludf.DUMMYFUNCTION("IMPORTRANGE(""https://docs.google.com/spreadsheets/d/1SX6NBoVAgQJ6U1MVXOaj8PK2l7WJ3RER9xtqwdhxkhw/edit?usp=sharing"",""นครปฐม!I33"")"),0)</f>
        <v>0</v>
      </c>
      <c r="J93" s="142">
        <f ca="1">IFERROR(__xludf.DUMMYFUNCTION("IMPORTRANGE(""https://docs.google.com/spreadsheets/d/1SX6NBoVAgQJ6U1MVXOaj8PK2l7WJ3RER9xtqwdhxkhw/edit?usp=sharing"",""นครปฐม!J33"")"),0)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IFERROR(__xludf.DUMMYFUNCTION("IMPORTRANGE(""https://docs.google.com/spreadsheets/d/1Yj_ptqi66GCucihVvJfMjLAmec39IyEx_6qawtMGysU/edit?usp=sharing"",""สบก!AR66"")"),0)</f>
        <v>0</v>
      </c>
      <c r="N98" s="169">
        <f ca="1">IFERROR(__xludf.DUMMYFUNCTION("IMPORTRANGE(""https://docs.google.com/spreadsheets/d/1Yj_ptqi66GCucihVvJfMjLAmec39IyEx_6qawtMGysU/edit?usp=sharing"",""สบก!AS66"")"),0)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IFERROR(__xludf.DUMMYFUNCTION("IMPORTRANGE(""https://docs.google.com/spreadsheets/d/1Yj_ptqi66GCucihVvJfMjLAmec39IyEx_6qawtMGysU/edit?usp=sharing"",""สบก!AN66"")"),0)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IFERROR(__xludf.DUMMYFUNCTION("IMPORTRANGE(""https://docs.google.com/spreadsheets/d/1Yj_ptqi66GCucihVvJfMjLAmec39IyEx_6qawtMGysU/edit?usp=sharing"",""สบก!AO66"")"),0)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IFERROR(__xludf.DUMMYFUNCTION("IMPORTRANGE(""https://docs.google.com/spreadsheets/d/1Yj_ptqi66GCucihVvJfMjLAmec39IyEx_6qawtMGysU/edit?usp=sharing"",""สบก!AP66"")"),0)</f>
        <v>0</v>
      </c>
      <c r="M102" s="49"/>
      <c r="N102" s="49">
        <f ca="1">IFERROR(__xludf.DUMMYFUNCTION("IMPORTRANGE(""https://docs.google.com/spreadsheets/d/1Yj_ptqi66GCucihVvJfMjLAmec39IyEx_6qawtMGysU/edit?usp=sharing"",""สบก!AT66"")"),0)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IFERROR(__xludf.DUMMYFUNCTION("IMPORTRANGE(""https://docs.google.com/spreadsheets/d/1SX6NBoVAgQJ6U1MVXOaj8PK2l7WJ3RER9xtqwdhxkhw/edit?usp=sharing"",""นครปฐม!J39"")"),0)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IFERROR(__xludf.DUMMYFUNCTION("IMPORTRANGE(""https://docs.google.com/spreadsheets/d/1SX6NBoVAgQJ6U1MVXOaj8PK2l7WJ3RER9xtqwdhxkhw/edit?usp=sharing"",""นครปฐม!J40"")"),0)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IFERROR(__xludf.DUMMYFUNCTION("IMPORTRANGE(""https://docs.google.com/spreadsheets/d/1SX6NBoVAgQJ6U1MVXOaj8PK2l7WJ3RER9xtqwdhxkhw/edit?usp=sharing"",""นครปฐม!J41"")"),0)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IFERROR(__xludf.DUMMYFUNCTION("IMPORTRANGE(""https://docs.google.com/spreadsheets/d/1SX6NBoVAgQJ6U1MVXOaj8PK2l7WJ3RER9xtqwdhxkhw/edit?usp=sharing"",""นครปฐม!J42"")"),0)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IFERROR(__xludf.DUMMYFUNCTION("IMPORTRANGE(""https://docs.google.com/spreadsheets/d/1SX6NBoVAgQJ6U1MVXOaj8PK2l7WJ3RER9xtqwdhxkhw/edit?usp=sharing"",""นครปฐม!I43"")"),0)</f>
        <v>0</v>
      </c>
      <c r="J108" s="204">
        <f ca="1">IFERROR(__xludf.DUMMYFUNCTION("IMPORTRANGE(""https://docs.google.com/spreadsheets/d/1SX6NBoVAgQJ6U1MVXOaj8PK2l7WJ3RER9xtqwdhxkhw/edit?usp=sharing"",""นครปฐม!J43"")"),0)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IFERROR(__xludf.DUMMYFUNCTION("IMPORTRANGE(""https://docs.google.com/spreadsheets/d/1SX6NBoVAgQJ6U1MVXOaj8PK2l7WJ3RER9xtqwdhxkhw/edit?usp=sharing"",""นครปฐม!I44"")"),0)</f>
        <v>0</v>
      </c>
      <c r="J109" s="204">
        <f ca="1">IFERROR(__xludf.DUMMYFUNCTION("IMPORTRANGE(""https://docs.google.com/spreadsheets/d/1SX6NBoVAgQJ6U1MVXOaj8PK2l7WJ3RER9xtqwdhxkhw/edit?usp=sharing"",""นครปฐม!J44"")"),0)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IFERROR(__xludf.DUMMYFUNCTION("IMPORTRANGE(""https://docs.google.com/spreadsheets/d/1SX6NBoVAgQJ6U1MVXOaj8PK2l7WJ3RER9xtqwdhxkhw/edit?usp=sharing"",""นครปฐม!I45"")"),0)</f>
        <v>0</v>
      </c>
      <c r="J110" s="204">
        <f ca="1">IFERROR(__xludf.DUMMYFUNCTION("IMPORTRANGE(""https://docs.google.com/spreadsheets/d/1SX6NBoVAgQJ6U1MVXOaj8PK2l7WJ3RER9xtqwdhxkhw/edit?usp=sharing"",""นครปฐม!J45"")"),0)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IFERROR(__xludf.DUMMYFUNCTION("IMPORTRANGE(""https://docs.google.com/spreadsheets/d/1SX6NBoVAgQJ6U1MVXOaj8PK2l7WJ3RER9xtqwdhxkhw/edit?usp=sharing"",""นครปฐม!I46"")"),0)</f>
        <v>0</v>
      </c>
      <c r="J111" s="204">
        <f ca="1">IFERROR(__xludf.DUMMYFUNCTION("IMPORTRANGE(""https://docs.google.com/spreadsheets/d/1SX6NBoVAgQJ6U1MVXOaj8PK2l7WJ3RER9xtqwdhxkhw/edit?usp=sharing"",""นครปฐม!J46"")"),0)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IFERROR(__xludf.DUMMYFUNCTION("IMPORTRANGE(""https://docs.google.com/spreadsheets/d/1SX6NBoVAgQJ6U1MVXOaj8PK2l7WJ3RER9xtqwdhxkhw/edit?usp=sharing"",""นครปฐม!I47"")"),0)</f>
        <v>0</v>
      </c>
      <c r="J112" s="204">
        <f ca="1">IFERROR(__xludf.DUMMYFUNCTION("IMPORTRANGE(""https://docs.google.com/spreadsheets/d/1SX6NBoVAgQJ6U1MVXOaj8PK2l7WJ3RER9xtqwdhxkhw/edit?usp=sharing"",""นครปฐม!J47"")"),0)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IFERROR(__xludf.DUMMYFUNCTION("IMPORTRANGE(""https://docs.google.com/spreadsheets/d/1SX6NBoVAgQJ6U1MVXOaj8PK2l7WJ3RER9xtqwdhxkhw/edit?usp=sharing"",""นครปฐม!I48"")"),0)</f>
        <v>0</v>
      </c>
      <c r="J113" s="204">
        <f ca="1">IFERROR(__xludf.DUMMYFUNCTION("IMPORTRANGE(""https://docs.google.com/spreadsheets/d/1SX6NBoVAgQJ6U1MVXOaj8PK2l7WJ3RER9xtqwdhxkhw/edit?usp=sharing"",""นครปฐม!J48"")"),0)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IFERROR(__xludf.DUMMYFUNCTION("IMPORTRANGE(""https://docs.google.com/spreadsheets/d/1SX6NBoVAgQJ6U1MVXOaj8PK2l7WJ3RER9xtqwdhxkhw/edit?usp=sharing"",""นครปฐม!J49"")"),0)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IFERROR(__xludf.DUMMYFUNCTION("IMPORTRANGE(""https://docs.google.com/spreadsheets/d/1SX6NBoVAgQJ6U1MVXOaj8PK2l7WJ3RER9xtqwdhxkhw/edit?usp=sharing"",""นครปฐม!J50"")"),0)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IFERROR(__xludf.DUMMYFUNCTION("IMPORTRANGE(""https://docs.google.com/spreadsheets/d/1SX6NBoVAgQJ6U1MVXOaj8PK2l7WJ3RER9xtqwdhxkhw/edit?usp=sharing"",""นครปฐม!I52"")"),0)</f>
        <v>0</v>
      </c>
      <c r="J117" s="142">
        <f ca="1">IFERROR(__xludf.DUMMYFUNCTION("IMPORTRANGE(""https://docs.google.com/spreadsheets/d/1SX6NBoVAgQJ6U1MVXOaj8PK2l7WJ3RER9xtqwdhxkhw/edit?usp=sharing"",""นครปฐม!J52"")"),0)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IFERROR(__xludf.DUMMYFUNCTION("IMPORTRANGE(""https://docs.google.com/spreadsheets/d/1Yj_ptqi66GCucihVvJfMjLAmec39IyEx_6qawtMGysU/edit?usp=sharing"",""สบก!BA66"")"),0)</f>
        <v>0</v>
      </c>
      <c r="N122" s="169">
        <f ca="1">IFERROR(__xludf.DUMMYFUNCTION("IMPORTRANGE(""https://docs.google.com/spreadsheets/d/1Yj_ptqi66GCucihVvJfMjLAmec39IyEx_6qawtMGysU/edit?usp=sharing"",""สบก!BB66"")"),0)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IFERROR(__xludf.DUMMYFUNCTION("IMPORTRANGE(""https://docs.google.com/spreadsheets/d/1Yj_ptqi66GCucihVvJfMjLAmec39IyEx_6qawtMGysU/edit?usp=sharing"",""สบก!AW66"")"),0)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IFERROR(__xludf.DUMMYFUNCTION("IMPORTRANGE(""https://docs.google.com/spreadsheets/d/1Yj_ptqi66GCucihVvJfMjLAmec39IyEx_6qawtMGysU/edit?usp=sharing"",""สบก!AX66"")"),0)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IFERROR(__xludf.DUMMYFUNCTION("IMPORTRANGE(""https://docs.google.com/spreadsheets/d/1Yj_ptqi66GCucihVvJfMjLAmec39IyEx_6qawtMGysU/edit?usp=sharing"",""สบก!AY66"")"),0)</f>
        <v>0</v>
      </c>
      <c r="M126" s="49"/>
      <c r="N126" s="49">
        <f ca="1">IFERROR(__xludf.DUMMYFUNCTION("IMPORTRANGE(""https://docs.google.com/spreadsheets/d/1Yj_ptqi66GCucihVvJfMjLAmec39IyEx_6qawtMGysU/edit?usp=sharing"",""สบก!BC66"")"),0)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253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IFERROR(__xludf.DUMMYFUNCTION("IMPORTRANGE(""https://docs.google.com/spreadsheets/d/1SX6NBoVAgQJ6U1MVXOaj8PK2l7WJ3RER9xtqwdhxkhw/edit?usp=sharing"",""นครปฐม!J58"")"),0)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IFERROR(__xludf.DUMMYFUNCTION("IMPORTRANGE(""https://docs.google.com/spreadsheets/d/1SX6NBoVAgQJ6U1MVXOaj8PK2l7WJ3RER9xtqwdhxkhw/edit?usp=sharing"",""นครปฐม!J59"")"),0)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IFERROR(__xludf.DUMMYFUNCTION("IMPORTRANGE(""https://docs.google.com/spreadsheets/d/1SX6NBoVAgQJ6U1MVXOaj8PK2l7WJ3RER9xtqwdhxkhw/edit?usp=sharing"",""นครปฐม!J60"")"),0)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IFERROR(__xludf.DUMMYFUNCTION("IMPORTRANGE(""https://docs.google.com/spreadsheets/d/1SX6NBoVAgQJ6U1MVXOaj8PK2l7WJ3RER9xtqwdhxkhw/edit?usp=sharing"",""นครปฐม!J61"")"),0)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IFERROR(__xludf.DUMMYFUNCTION("IMPORTRANGE(""https://docs.google.com/spreadsheets/d/1SX6NBoVAgQJ6U1MVXOaj8PK2l7WJ3RER9xtqwdhxkhw/edit?usp=sharing"",""นครปฐม!I62"")"),0)</f>
        <v>0</v>
      </c>
      <c r="J132" s="204">
        <f ca="1">IFERROR(__xludf.DUMMYFUNCTION("IMPORTRANGE(""https://docs.google.com/spreadsheets/d/1SX6NBoVAgQJ6U1MVXOaj8PK2l7WJ3RER9xtqwdhxkhw/edit?usp=sharing"",""นครปฐม!J62"")"),0)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IFERROR(__xludf.DUMMYFUNCTION("IMPORTRANGE(""https://docs.google.com/spreadsheets/d/1SX6NBoVAgQJ6U1MVXOaj8PK2l7WJ3RER9xtqwdhxkhw/edit?usp=sharing"",""นครปฐม!I63"")"),0)</f>
        <v>0</v>
      </c>
      <c r="J133" s="204">
        <f ca="1">IFERROR(__xludf.DUMMYFUNCTION("IMPORTRANGE(""https://docs.google.com/spreadsheets/d/1SX6NBoVAgQJ6U1MVXOaj8PK2l7WJ3RER9xtqwdhxkhw/edit?usp=sharing"",""นครปฐม!J63"")"),0)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IFERROR(__xludf.DUMMYFUNCTION("IMPORTRANGE(""https://docs.google.com/spreadsheets/d/1SX6NBoVAgQJ6U1MVXOaj8PK2l7WJ3RER9xtqwdhxkhw/edit?usp=sharing"",""นครปฐม!J64"")"),0)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IFERROR(__xludf.DUMMYFUNCTION("IMPORTRANGE(""https://docs.google.com/spreadsheets/d/1SX6NBoVAgQJ6U1MVXOaj8PK2l7WJ3RER9xtqwdhxkhw/edit?usp=sharing"",""นครปฐม!J65"")"),0)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IFERROR(__xludf.DUMMYFUNCTION("IMPORTRANGE(""https://docs.google.com/spreadsheets/d/1SX6NBoVAgQJ6U1MVXOaj8PK2l7WJ3RER9xtqwdhxkhw/edit?usp=sharing"",""นครปฐม!I68"")"),20)</f>
        <v>20</v>
      </c>
      <c r="J138" s="267">
        <f ca="1">IFERROR(__xludf.DUMMYFUNCTION("IMPORTRANGE(""https://docs.google.com/spreadsheets/d/1SX6NBoVAgQJ6U1MVXOaj8PK2l7WJ3RER9xtqwdhxkhw/edit?usp=sharing"",""นครปฐม!J68"")"),20)</f>
        <v>20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567900</v>
      </c>
      <c r="M140" s="152">
        <f t="shared" ca="1" si="64"/>
        <v>443925</v>
      </c>
      <c r="N140" s="152">
        <f t="shared" ca="1" si="64"/>
        <v>265704.39</v>
      </c>
      <c r="O140" s="151">
        <f t="shared" ref="O140:O142" ca="1" si="65">IF(L140&gt;0,N140*100/L140,0)</f>
        <v>46.787179080824089</v>
      </c>
      <c r="P140" s="151">
        <f t="shared" ref="P140:P142" ca="1" si="66">IF(M140&gt;0,N140*100/M140,0)</f>
        <v>59.853441459706033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567900</v>
      </c>
      <c r="M142" s="157">
        <f t="shared" ca="1" si="68"/>
        <v>443925</v>
      </c>
      <c r="N142" s="157">
        <f t="shared" ca="1" si="68"/>
        <v>265704.39</v>
      </c>
      <c r="O142" s="156">
        <f t="shared" ca="1" si="65"/>
        <v>46.787179080824089</v>
      </c>
      <c r="P142" s="156">
        <f t="shared" ca="1" si="66"/>
        <v>59.853441459706033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567900</v>
      </c>
      <c r="M144" s="168">
        <f ca="1">IFERROR(__xludf.DUMMYFUNCTION("IMPORTRANGE(""https://docs.google.com/spreadsheets/d/1Yj_ptqi66GCucihVvJfMjLAmec39IyEx_6qawtMGysU/edit?usp=sharing"",""สบก!BJ66"")"),443925)</f>
        <v>443925</v>
      </c>
      <c r="N144" s="169">
        <f ca="1">IFERROR(__xludf.DUMMYFUNCTION("IMPORTRANGE(""https://docs.google.com/spreadsheets/d/1Yj_ptqi66GCucihVvJfMjLAmec39IyEx_6qawtMGysU/edit?usp=sharing"",""สบก!BK66"")"),265704.39)</f>
        <v>265704.39</v>
      </c>
      <c r="O144" s="169">
        <f ca="1">IF(L144&gt;0,N144*100/L144,0)</f>
        <v>46.787179080824089</v>
      </c>
      <c r="P144" s="169">
        <f ca="1">IF(M144&gt;0,N144*100/M144,0)</f>
        <v>59.853441459706033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IFERROR(__xludf.DUMMYFUNCTION("IMPORTRANGE(""https://docs.google.com/spreadsheets/d/1Yj_ptqi66GCucihVvJfMjLAmec39IyEx_6qawtMGysU/edit?usp=sharing"",""สบก!BF66"")"),310700)</f>
        <v>310700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IFERROR(__xludf.DUMMYFUNCTION("IMPORTRANGE(""https://docs.google.com/spreadsheets/d/1Yj_ptqi66GCucihVvJfMjLAmec39IyEx_6qawtMGysU/edit?usp=sharing"",""สบก!BG66"")"),257200)</f>
        <v>257200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IFERROR(__xludf.DUMMYFUNCTION("IMPORTRANGE(""https://docs.google.com/spreadsheets/d/1Yj_ptqi66GCucihVvJfMjLAmec39IyEx_6qawtMGysU/edit?usp=sharing"",""สบก!BH66"")"),0)</f>
        <v>0</v>
      </c>
      <c r="M148" s="49"/>
      <c r="N148" s="49">
        <f ca="1">IFERROR(__xludf.DUMMYFUNCTION("IMPORTRANGE(""https://docs.google.com/spreadsheets/d/1Yj_ptqi66GCucihVvJfMjLAmec39IyEx_6qawtMGysU/edit?usp=sharing"",""สบก!BL66"")"),0)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IFERROR(__xludf.DUMMYFUNCTION("IMPORTRANGE(""https://docs.google.com/spreadsheets/d/1SX6NBoVAgQJ6U1MVXOaj8PK2l7WJ3RER9xtqwdhxkhw/edit?usp=sharing"",""นครปฐม!I74"")"),4)</f>
        <v>4</v>
      </c>
      <c r="J149" s="275">
        <f ca="1">IFERROR(__xludf.DUMMYFUNCTION("IMPORTRANGE(""https://docs.google.com/spreadsheets/d/1SX6NBoVAgQJ6U1MVXOaj8PK2l7WJ3RER9xtqwdhxkhw/edit?usp=sharing"",""นครปฐม!J74"")"),2)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IFERROR(__xludf.DUMMYFUNCTION("IMPORTRANGE(""https://docs.google.com/spreadsheets/d/1SX6NBoVAgQJ6U1MVXOaj8PK2l7WJ3RER9xtqwdhxkhw/edit?usp=sharing"",""นครปฐม!J79"")"),0)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IFERROR(__xludf.DUMMYFUNCTION("IMPORTRANGE(""https://docs.google.com/spreadsheets/d/1SX6NBoVAgQJ6U1MVXOaj8PK2l7WJ3RER9xtqwdhxkhw/edit?usp=sharing"",""นครปฐม!J80"")"),1)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IFERROR(__xludf.DUMMYFUNCTION("IMPORTRANGE(""https://docs.google.com/spreadsheets/d/1SX6NBoVAgQJ6U1MVXOaj8PK2l7WJ3RER9xtqwdhxkhw/edit?usp=sharing"",""นครปฐม!J81"")"),0)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IFERROR(__xludf.DUMMYFUNCTION("IMPORTRANGE(""https://docs.google.com/spreadsheets/d/1SX6NBoVAgQJ6U1MVXOaj8PK2l7WJ3RER9xtqwdhxkhw/edit?usp=sharing"",""นครปฐม!J82"")"),1)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IFERROR(__xludf.DUMMYFUNCTION("IMPORTRANGE(""https://docs.google.com/spreadsheets/d/1SX6NBoVAgQJ6U1MVXOaj8PK2l7WJ3RER9xtqwdhxkhw/edit?usp=sharing"",""นครปฐม!I83"")"),4)</f>
        <v>4</v>
      </c>
      <c r="J158" s="189">
        <f ca="1">IFERROR(__xludf.DUMMYFUNCTION("IMPORTRANGE(""https://docs.google.com/spreadsheets/d/1SX6NBoVAgQJ6U1MVXOaj8PK2l7WJ3RER9xtqwdhxkhw/edit?usp=sharing"",""นครปฐม!J83"")"),2)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IFERROR(__xludf.DUMMYFUNCTION("IMPORTRANGE(""https://docs.google.com/spreadsheets/d/1SX6NBoVAgQJ6U1MVXOaj8PK2l7WJ3RER9xtqwdhxkhw/edit?usp=sharing"",""นครปฐม!J84"")"),40)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IFERROR(__xludf.DUMMYFUNCTION("IMPORTRANGE(""https://docs.google.com/spreadsheets/d/1SX6NBoVAgQJ6U1MVXOaj8PK2l7WJ3RER9xtqwdhxkhw/edit?usp=sharing"",""นครปฐม!J85"")"),40)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IFERROR(__xludf.DUMMYFUNCTION("IMPORTRANGE(""https://docs.google.com/spreadsheets/d/1SX6NBoVAgQJ6U1MVXOaj8PK2l7WJ3RER9xtqwdhxkhw/edit?usp=sharing"",""นครปฐม!J86"")"),0)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IFERROR(__xludf.DUMMYFUNCTION("IMPORTRANGE(""https://docs.google.com/spreadsheets/d/1SX6NBoVAgQJ6U1MVXOaj8PK2l7WJ3RER9xtqwdhxkhw/edit?usp=sharing"",""นครปฐม!J87"")"),0)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IFERROR(__xludf.DUMMYFUNCTION("IMPORTRANGE(""https://docs.google.com/spreadsheets/d/1SX6NBoVAgQJ6U1MVXOaj8PK2l7WJ3RER9xtqwdhxkhw/edit?usp=sharing"",""นครปฐม!J88"")"),0)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IFERROR(__xludf.DUMMYFUNCTION("IMPORTRANGE(""https://docs.google.com/spreadsheets/d/1SX6NBoVAgQJ6U1MVXOaj8PK2l7WJ3RER9xtqwdhxkhw/edit?usp=sharing"",""นครปฐม!I89"")"),3)</f>
        <v>3</v>
      </c>
      <c r="J164" s="284">
        <f ca="1">IFERROR(__xludf.DUMMYFUNCTION("IMPORTRANGE(""https://docs.google.com/spreadsheets/d/1SX6NBoVAgQJ6U1MVXOaj8PK2l7WJ3RER9xtqwdhxkhw/edit?usp=sharing"",""นครปฐม!J89"")"),3)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IFERROR(__xludf.DUMMYFUNCTION("IMPORTRANGE(""https://docs.google.com/spreadsheets/d/1SX6NBoVAgQJ6U1MVXOaj8PK2l7WJ3RER9xtqwdhxkhw/edit?usp=sharing"",""นครปฐม!J94"")"),0)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IFERROR(__xludf.DUMMYFUNCTION("IMPORTRANGE(""https://docs.google.com/spreadsheets/d/1SX6NBoVAgQJ6U1MVXOaj8PK2l7WJ3RER9xtqwdhxkhw/edit?usp=sharing"",""นครปฐม!J95"")"),1)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IFERROR(__xludf.DUMMYFUNCTION("IMPORTRANGE(""https://docs.google.com/spreadsheets/d/1SX6NBoVAgQJ6U1MVXOaj8PK2l7WJ3RER9xtqwdhxkhw/edit?usp=sharing"",""นครปฐม!J96"")"),1)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IFERROR(__xludf.DUMMYFUNCTION("IMPORTRANGE(""https://docs.google.com/spreadsheets/d/1SX6NBoVAgQJ6U1MVXOaj8PK2l7WJ3RER9xtqwdhxkhw/edit?usp=sharing"",""นครปฐม!J97"")"),1)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IFERROR(__xludf.DUMMYFUNCTION("IMPORTRANGE(""https://docs.google.com/spreadsheets/d/1SX6NBoVAgQJ6U1MVXOaj8PK2l7WJ3RER9xtqwdhxkhw/edit?usp=sharing"",""นครปฐม!I98"")"),3)</f>
        <v>3</v>
      </c>
      <c r="J173" s="189">
        <f ca="1">IFERROR(__xludf.DUMMYFUNCTION("IMPORTRANGE(""https://docs.google.com/spreadsheets/d/1SX6NBoVAgQJ6U1MVXOaj8PK2l7WJ3RER9xtqwdhxkhw/edit?usp=sharing"",""นครปฐม!J98"")"),3)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IFERROR(__xludf.DUMMYFUNCTION("IMPORTRANGE(""https://docs.google.com/spreadsheets/d/1SX6NBoVAgQJ6U1MVXOaj8PK2l7WJ3RER9xtqwdhxkhw/edit?usp=sharing"",""นครปฐม!J99"")"),0)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IFERROR(__xludf.DUMMYFUNCTION("IMPORTRANGE(""https://docs.google.com/spreadsheets/d/1SX6NBoVAgQJ6U1MVXOaj8PK2l7WJ3RER9xtqwdhxkhw/edit?usp=sharing"",""นครปฐม!J100"")"),0)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IFERROR(__xludf.DUMMYFUNCTION("IMPORTRANGE(""https://docs.google.com/spreadsheets/d/1SX6NBoVAgQJ6U1MVXOaj8PK2l7WJ3RER9xtqwdhxkhw/edit?usp=sharing"",""นครปฐม!I101"")"),0)</f>
        <v>0</v>
      </c>
      <c r="J176" s="284">
        <f ca="1">IFERROR(__xludf.DUMMYFUNCTION("IMPORTRANGE(""https://docs.google.com/spreadsheets/d/1SX6NBoVAgQJ6U1MVXOaj8PK2l7WJ3RER9xtqwdhxkhw/edit?usp=sharing"",""นครปฐม!J101"")"),0)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IFERROR(__xludf.DUMMYFUNCTION("IMPORTRANGE(""https://docs.google.com/spreadsheets/d/1SX6NBoVAgQJ6U1MVXOaj8PK2l7WJ3RER9xtqwdhxkhw/edit?usp=sharing"",""นครปฐม!J106"")"),0)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IFERROR(__xludf.DUMMYFUNCTION("IMPORTRANGE(""https://docs.google.com/spreadsheets/d/1SX6NBoVAgQJ6U1MVXOaj8PK2l7WJ3RER9xtqwdhxkhw/edit?usp=sharing"",""นครปฐม!J107"")"),0)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IFERROR(__xludf.DUMMYFUNCTION("IMPORTRANGE(""https://docs.google.com/spreadsheets/d/1SX6NBoVAgQJ6U1MVXOaj8PK2l7WJ3RER9xtqwdhxkhw/edit?usp=sharing"",""นครปฐม!J108"")"),0)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IFERROR(__xludf.DUMMYFUNCTION("IMPORTRANGE(""https://docs.google.com/spreadsheets/d/1SX6NBoVAgQJ6U1MVXOaj8PK2l7WJ3RER9xtqwdhxkhw/edit?usp=sharing"",""นครปฐม!J109"")"),0)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IFERROR(__xludf.DUMMYFUNCTION("IMPORTRANGE(""https://docs.google.com/spreadsheets/d/1SX6NBoVAgQJ6U1MVXOaj8PK2l7WJ3RER9xtqwdhxkhw/edit?usp=sharing"",""นครปฐม!I110"")"),0)</f>
        <v>0</v>
      </c>
      <c r="J185" s="204">
        <f ca="1">IFERROR(__xludf.DUMMYFUNCTION("IMPORTRANGE(""https://docs.google.com/spreadsheets/d/1SX6NBoVAgQJ6U1MVXOaj8PK2l7WJ3RER9xtqwdhxkhw/edit?usp=sharing"",""นครปฐม!J110"")"),0)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IFERROR(__xludf.DUMMYFUNCTION("IMPORTRANGE(""https://docs.google.com/spreadsheets/d/1SX6NBoVAgQJ6U1MVXOaj8PK2l7WJ3RER9xtqwdhxkhw/edit?usp=sharing"",""นครปฐม!I111"")"),0)</f>
        <v>0</v>
      </c>
      <c r="J186" s="204">
        <f ca="1">IFERROR(__xludf.DUMMYFUNCTION("IMPORTRANGE(""https://docs.google.com/spreadsheets/d/1SX6NBoVAgQJ6U1MVXOaj8PK2l7WJ3RER9xtqwdhxkhw/edit?usp=sharing"",""นครปฐม!J111"")"),0)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IFERROR(__xludf.DUMMYFUNCTION("IMPORTRANGE(""https://docs.google.com/spreadsheets/d/1SX6NBoVAgQJ6U1MVXOaj8PK2l7WJ3RER9xtqwdhxkhw/edit?usp=sharing"",""นครปฐม!J112"")"),0)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IFERROR(__xludf.DUMMYFUNCTION("IMPORTRANGE(""https://docs.google.com/spreadsheets/d/1SX6NBoVAgQJ6U1MVXOaj8PK2l7WJ3RER9xtqwdhxkhw/edit?usp=sharing"",""นครปฐม!J113"")"),0)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IFERROR(__xludf.DUMMYFUNCTION("IMPORTRANGE(""https://docs.google.com/spreadsheets/d/1SX6NBoVAgQJ6U1MVXOaj8PK2l7WJ3RER9xtqwdhxkhw/edit?usp=sharing"",""นครปฐม!I114"")"),5000)</f>
        <v>5000</v>
      </c>
      <c r="J189" s="284">
        <f ca="1">IFERROR(__xludf.DUMMYFUNCTION("IMPORTRANGE(""https://docs.google.com/spreadsheets/d/1SX6NBoVAgQJ6U1MVXOaj8PK2l7WJ3RER9xtqwdhxkhw/edit?usp=sharing"",""นครปฐม!J114"")"),0)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IFERROR(__xludf.DUMMYFUNCTION("IMPORTRANGE(""https://docs.google.com/spreadsheets/d/1SX6NBoVAgQJ6U1MVXOaj8PK2l7WJ3RER9xtqwdhxkhw/edit?usp=sharing"",""นครปฐม!J119"")"),0)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IFERROR(__xludf.DUMMYFUNCTION("IMPORTRANGE(""https://docs.google.com/spreadsheets/d/1SX6NBoVAgQJ6U1MVXOaj8PK2l7WJ3RER9xtqwdhxkhw/edit?usp=sharing"",""นครปฐม!J120"")"),1)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IFERROR(__xludf.DUMMYFUNCTION("IMPORTRANGE(""https://docs.google.com/spreadsheets/d/1SX6NBoVAgQJ6U1MVXOaj8PK2l7WJ3RER9xtqwdhxkhw/edit?usp=sharing"",""นครปฐม!J121"")"),1)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IFERROR(__xludf.DUMMYFUNCTION("IMPORTRANGE(""https://docs.google.com/spreadsheets/d/1SX6NBoVAgQJ6U1MVXOaj8PK2l7WJ3RER9xtqwdhxkhw/edit?usp=sharing"",""นครปฐม!J122"")"),1)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IFERROR(__xludf.DUMMYFUNCTION("IMPORTRANGE(""https://docs.google.com/spreadsheets/d/1SX6NBoVAgQJ6U1MVXOaj8PK2l7WJ3RER9xtqwdhxkhw/edit?usp=sharing"",""นครปฐม!I124"")"),5000)</f>
        <v>5000</v>
      </c>
      <c r="J199" s="189">
        <f ca="1">IFERROR(__xludf.DUMMYFUNCTION("IMPORTRANGE(""https://docs.google.com/spreadsheets/d/1SX6NBoVAgQJ6U1MVXOaj8PK2l7WJ3RER9xtqwdhxkhw/edit?usp=sharing"",""นครปฐม!J124"")"),0)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IFERROR(__xludf.DUMMYFUNCTION("IMPORTRANGE(""https://docs.google.com/spreadsheets/d/1SX6NBoVAgQJ6U1MVXOaj8PK2l7WJ3RER9xtqwdhxkhw/edit?usp=sharing"",""นครปฐม!I125"")"),5000)</f>
        <v>5000</v>
      </c>
      <c r="J200" s="189">
        <f ca="1">IFERROR(__xludf.DUMMYFUNCTION("IMPORTRANGE(""https://docs.google.com/spreadsheets/d/1SX6NBoVAgQJ6U1MVXOaj8PK2l7WJ3RER9xtqwdhxkhw/edit?usp=sharing"",""นครปฐม!J125"")"),0)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IFERROR(__xludf.DUMMYFUNCTION("IMPORTRANGE(""https://docs.google.com/spreadsheets/d/1SX6NBoVAgQJ6U1MVXOaj8PK2l7WJ3RER9xtqwdhxkhw/edit?usp=sharing"",""นครปฐม!I126"")"),0)</f>
        <v>0</v>
      </c>
      <c r="J201" s="189">
        <f ca="1">IFERROR(__xludf.DUMMYFUNCTION("IMPORTRANGE(""https://docs.google.com/spreadsheets/d/1SX6NBoVAgQJ6U1MVXOaj8PK2l7WJ3RER9xtqwdhxkhw/edit?usp=sharing"",""นครปฐม!J126"")"),0)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IFERROR(__xludf.DUMMYFUNCTION("IMPORTRANGE(""https://docs.google.com/spreadsheets/d/1SX6NBoVAgQJ6U1MVXOaj8PK2l7WJ3RER9xtqwdhxkhw/edit?usp=sharing"",""นครปฐม!J127"")"),0)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IFERROR(__xludf.DUMMYFUNCTION("IMPORTRANGE(""https://docs.google.com/spreadsheets/d/1SX6NBoVAgQJ6U1MVXOaj8PK2l7WJ3RER9xtqwdhxkhw/edit?usp=sharing"",""นครปฐม!J128"")"),0)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IFERROR(__xludf.DUMMYFUNCTION("IMPORTRANGE(""https://docs.google.com/spreadsheets/d/1SX6NBoVAgQJ6U1MVXOaj8PK2l7WJ3RER9xtqwdhxkhw/edit?usp=sharing"",""นครปฐม!I129"")"),20)</f>
        <v>20</v>
      </c>
      <c r="J204" s="284">
        <f ca="1">IFERROR(__xludf.DUMMYFUNCTION("IMPORTRANGE(""https://docs.google.com/spreadsheets/d/1SX6NBoVAgQJ6U1MVXOaj8PK2l7WJ3RER9xtqwdhxkhw/edit?usp=sharing"",""นครปฐม!J129"")"),20)</f>
        <v>20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IFERROR(__xludf.DUMMYFUNCTION("IMPORTRANGE(""https://docs.google.com/spreadsheets/d/1SX6NBoVAgQJ6U1MVXOaj8PK2l7WJ3RER9xtqwdhxkhw/edit?usp=sharing"",""นครปฐม!J134"")"),0)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IFERROR(__xludf.DUMMYFUNCTION("IMPORTRANGE(""https://docs.google.com/spreadsheets/d/1SX6NBoVAgQJ6U1MVXOaj8PK2l7WJ3RER9xtqwdhxkhw/edit?usp=sharing"",""นครปฐม!J135"")"),1)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IFERROR(__xludf.DUMMYFUNCTION("IMPORTRANGE(""https://docs.google.com/spreadsheets/d/1SX6NBoVAgQJ6U1MVXOaj8PK2l7WJ3RER9xtqwdhxkhw/edit?usp=sharing"",""นครปฐม!J136"")"),1)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IFERROR(__xludf.DUMMYFUNCTION("IMPORTRANGE(""https://docs.google.com/spreadsheets/d/1SX6NBoVAgQJ6U1MVXOaj8PK2l7WJ3RER9xtqwdhxkhw/edit?usp=sharing"",""นครปฐม!J137"")"),1)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IFERROR(__xludf.DUMMYFUNCTION("IMPORTRANGE(""https://docs.google.com/spreadsheets/d/1SX6NBoVAgQJ6U1MVXOaj8PK2l7WJ3RER9xtqwdhxkhw/edit?usp=sharing"",""นครปฐม!I138"")"),20)</f>
        <v>20</v>
      </c>
      <c r="J213" s="204">
        <f ca="1">IFERROR(__xludf.DUMMYFUNCTION("IMPORTRANGE(""https://docs.google.com/spreadsheets/d/1SX6NBoVAgQJ6U1MVXOaj8PK2l7WJ3RER9xtqwdhxkhw/edit?usp=sharing"",""นครปฐม!J138"")"),20)</f>
        <v>20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IFERROR(__xludf.DUMMYFUNCTION("IMPORTRANGE(""https://docs.google.com/spreadsheets/d/1SX6NBoVAgQJ6U1MVXOaj8PK2l7WJ3RER9xtqwdhxkhw/edit?usp=sharing"",""นครปฐม!I140"")"),0)</f>
        <v>0</v>
      </c>
      <c r="J215" s="204">
        <f ca="1">IFERROR(__xludf.DUMMYFUNCTION("IMPORTRANGE(""https://docs.google.com/spreadsheets/d/1SX6NBoVAgQJ6U1MVXOaj8PK2l7WJ3RER9xtqwdhxkhw/edit?usp=sharing"",""นครปฐม!J140"")"),0)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IFERROR(__xludf.DUMMYFUNCTION("IMPORTRANGE(""https://docs.google.com/spreadsheets/d/1SX6NBoVAgQJ6U1MVXOaj8PK2l7WJ3RER9xtqwdhxkhw/edit?usp=sharing"",""นครปฐม!I141"")"),1)</f>
        <v>1</v>
      </c>
      <c r="J216" s="204">
        <f ca="1">IFERROR(__xludf.DUMMYFUNCTION("IMPORTRANGE(""https://docs.google.com/spreadsheets/d/1SX6NBoVAgQJ6U1MVXOaj8PK2l7WJ3RER9xtqwdhxkhw/edit?usp=sharing"",""นครปฐม!J141"")"),0)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IFERROR(__xludf.DUMMYFUNCTION("IMPORTRANGE(""https://docs.google.com/spreadsheets/d/1SX6NBoVAgQJ6U1MVXOaj8PK2l7WJ3RER9xtqwdhxkhw/edit?usp=sharing"",""นครปฐม!J142"")"),0)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IFERROR(__xludf.DUMMYFUNCTION("IMPORTRANGE(""https://docs.google.com/spreadsheets/d/1SX6NBoVAgQJ6U1MVXOaj8PK2l7WJ3RER9xtqwdhxkhw/edit?usp=sharing"",""นครปฐม!J143"")"),0)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IFERROR(__xludf.DUMMYFUNCTION("IMPORTRANGE(""https://docs.google.com/spreadsheets/d/1SX6NBoVAgQJ6U1MVXOaj8PK2l7WJ3RER9xtqwdhxkhw/edit?usp=sharing"",""นครปฐม!I144"")"),13)</f>
        <v>13</v>
      </c>
      <c r="J219" s="267">
        <f ca="1">IFERROR(__xludf.DUMMYFUNCTION("IMPORTRANGE(""https://docs.google.com/spreadsheets/d/1SX6NBoVAgQJ6U1MVXOaj8PK2l7WJ3RER9xtqwdhxkhw/edit?usp=sharing"",""นครปฐม!J144"")"),13)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IFERROR(__xludf.DUMMYFUNCTION("IMPORTRANGE(""https://docs.google.com/spreadsheets/d/1Yj_ptqi66GCucihVvJfMjLAmec39IyEx_6qawtMGysU/edit?usp=sharing"",""สบก!BS66"")"),19295)</f>
        <v>19295</v>
      </c>
      <c r="N224" s="169">
        <f ca="1">IFERROR(__xludf.DUMMYFUNCTION("IMPORTRANGE(""https://docs.google.com/spreadsheets/d/1Yj_ptqi66GCucihVvJfMjLAmec39IyEx_6qawtMGysU/edit?usp=sharing"",""สบก!BT66"")"),19295)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IFERROR(__xludf.DUMMYFUNCTION("IMPORTRANGE(""https://docs.google.com/spreadsheets/d/1Yj_ptqi66GCucihVvJfMjLAmec39IyEx_6qawtMGysU/edit?usp=sharing"",""สบก!BO66"")"),0)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IFERROR(__xludf.DUMMYFUNCTION("IMPORTRANGE(""https://docs.google.com/spreadsheets/d/1Yj_ptqi66GCucihVvJfMjLAmec39IyEx_6qawtMGysU/edit?usp=sharing"",""สบก!BP66"")"),19295)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IFERROR(__xludf.DUMMYFUNCTION("IMPORTRANGE(""https://docs.google.com/spreadsheets/d/1Yj_ptqi66GCucihVvJfMjLAmec39IyEx_6qawtMGysU/edit?usp=sharing"",""สบก!BQ66"")"),0)</f>
        <v>0</v>
      </c>
      <c r="M228" s="49"/>
      <c r="N228" s="49">
        <f ca="1">IFERROR(__xludf.DUMMYFUNCTION("IMPORTRANGE(""https://docs.google.com/spreadsheets/d/1Yj_ptqi66GCucihVvJfMjLAmec39IyEx_6qawtMGysU/edit?usp=sharing"",""สบก!BU66"")"),0)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IFERROR(__xludf.DUMMYFUNCTION("IMPORTRANGE(""https://docs.google.com/spreadsheets/d/1SX6NBoVAgQJ6U1MVXOaj8PK2l7WJ3RER9xtqwdhxkhw/edit?usp=sharing"",""นครปฐม!I149"")"),13)</f>
        <v>13</v>
      </c>
      <c r="J229" s="267">
        <f ca="1">IFERROR(__xludf.DUMMYFUNCTION("IMPORTRANGE(""https://docs.google.com/spreadsheets/d/1SX6NBoVAgQJ6U1MVXOaj8PK2l7WJ3RER9xtqwdhxkhw/edit?usp=sharing"",""นครปฐม!J149"")"),13)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IFERROR(__xludf.DUMMYFUNCTION("IMPORTRANGE(""https://docs.google.com/spreadsheets/d/1SX6NBoVAgQJ6U1MVXOaj8PK2l7WJ3RER9xtqwdhxkhw/edit?usp=sharing"",""นครปฐม!J151"")"),0)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IFERROR(__xludf.DUMMYFUNCTION("IMPORTRANGE(""https://docs.google.com/spreadsheets/d/1SX6NBoVAgQJ6U1MVXOaj8PK2l7WJ3RER9xtqwdhxkhw/edit?usp=sharing"",""นครปฐม!J152"")"),0)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IFERROR(__xludf.DUMMYFUNCTION("IMPORTRANGE(""https://docs.google.com/spreadsheets/d/1SX6NBoVAgQJ6U1MVXOaj8PK2l7WJ3RER9xtqwdhxkhw/edit?usp=sharing"",""นครปฐม!J153"")"),0)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IFERROR(__xludf.DUMMYFUNCTION("IMPORTRANGE(""https://docs.google.com/spreadsheets/d/1SX6NBoVAgQJ6U1MVXOaj8PK2l7WJ3RER9xtqwdhxkhw/edit?usp=sharing"",""นครปฐม!J154"")"),0)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IFERROR(__xludf.DUMMYFUNCTION("IMPORTRANGE(""https://docs.google.com/spreadsheets/d/1SX6NBoVAgQJ6U1MVXOaj8PK2l7WJ3RER9xtqwdhxkhw/edit?usp=sharing"",""นครปฐม!I155"")"),13)</f>
        <v>13</v>
      </c>
      <c r="J235" s="189">
        <f ca="1">IFERROR(__xludf.DUMMYFUNCTION("IMPORTRANGE(""https://docs.google.com/spreadsheets/d/1SX6NBoVAgQJ6U1MVXOaj8PK2l7WJ3RER9xtqwdhxkhw/edit?usp=sharing"",""นครปฐม!J155"")"),13)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IFERROR(__xludf.DUMMYFUNCTION("IMPORTRANGE(""https://docs.google.com/spreadsheets/d/1SX6NBoVAgQJ6U1MVXOaj8PK2l7WJ3RER9xtqwdhxkhw/edit?usp=sharing"",""นครปฐม!J156"")"),1)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IFERROR(__xludf.DUMMYFUNCTION("IMPORTRANGE(""https://docs.google.com/spreadsheets/d/1SX6NBoVAgQJ6U1MVXOaj8PK2l7WJ3RER9xtqwdhxkhw/edit?usp=sharing"",""นครปฐม!J157"")"),1)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IFERROR(__xludf.DUMMYFUNCTION("IMPORTRANGE(""https://docs.google.com/spreadsheets/d/1SX6NBoVAgQJ6U1MVXOaj8PK2l7WJ3RER9xtqwdhxkhw/edit?usp=sharing"",""นครปฐม!I158"")"),0)</f>
        <v>0</v>
      </c>
      <c r="J238" s="267">
        <f ca="1">IFERROR(__xludf.DUMMYFUNCTION("IMPORTRANGE(""https://docs.google.com/spreadsheets/d/1SX6NBoVAgQJ6U1MVXOaj8PK2l7WJ3RER9xtqwdhxkhw/edit?usp=sharing"",""นครปฐม!J158"")"),0)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IFERROR(__xludf.DUMMYFUNCTION("IMPORTRANGE(""https://docs.google.com/spreadsheets/d/1SX6NBoVAgQJ6U1MVXOaj8PK2l7WJ3RER9xtqwdhxkhw/edit?usp=sharing"",""นครปฐม!J159"")"),"")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IFERROR(__xludf.DUMMYFUNCTION("IMPORTRANGE(""https://docs.google.com/spreadsheets/d/1SX6NBoVAgQJ6U1MVXOaj8PK2l7WJ3RER9xtqwdhxkhw/edit?usp=sharing"",""นครปฐม!J161"")"),0)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IFERROR(__xludf.DUMMYFUNCTION("IMPORTRANGE(""https://docs.google.com/spreadsheets/d/1SX6NBoVAgQJ6U1MVXOaj8PK2l7WJ3RER9xtqwdhxkhw/edit?usp=sharing"",""นครปฐม!J162"")"),0)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IFERROR(__xludf.DUMMYFUNCTION("IMPORTRANGE(""https://docs.google.com/spreadsheets/d/1SX6NBoVAgQJ6U1MVXOaj8PK2l7WJ3RER9xtqwdhxkhw/edit?usp=sharing"",""นครปฐม!J163"")"),0)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IFERROR(__xludf.DUMMYFUNCTION("IMPORTRANGE(""https://docs.google.com/spreadsheets/d/1SX6NBoVAgQJ6U1MVXOaj8PK2l7WJ3RER9xtqwdhxkhw/edit?usp=sharing"",""นครปฐม!I164"")"),0)</f>
        <v>0</v>
      </c>
      <c r="J244" s="188">
        <f ca="1">IFERROR(__xludf.DUMMYFUNCTION("IMPORTRANGE(""https://docs.google.com/spreadsheets/d/1SX6NBoVAgQJ6U1MVXOaj8PK2l7WJ3RER9xtqwdhxkhw/edit?usp=sharing"",""นครปฐม!J164"")"),0)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IFERROR(__xludf.DUMMYFUNCTION("IMPORTRANGE(""https://docs.google.com/spreadsheets/d/1SX6NBoVAgQJ6U1MVXOaj8PK2l7WJ3RER9xtqwdhxkhw/edit?usp=sharing"",""นครปฐม!J165"")"),0)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IFERROR(__xludf.DUMMYFUNCTION("IMPORTRANGE(""https://docs.google.com/spreadsheets/d/1SX6NBoVAgQJ6U1MVXOaj8PK2l7WJ3RER9xtqwdhxkhw/edit?usp=sharing"",""นครปฐม!J166"")"),0)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IFERROR(__xludf.DUMMYFUNCTION("IMPORTRANGE(""https://docs.google.com/spreadsheets/d/1SX6NBoVAgQJ6U1MVXOaj8PK2l7WJ3RER9xtqwdhxkhw/edit?usp=sharing"",""นครปฐม!I169"")"),0)</f>
        <v>0</v>
      </c>
      <c r="J249" s="316">
        <f ca="1">IFERROR(__xludf.DUMMYFUNCTION("IMPORTRANGE(""https://docs.google.com/spreadsheets/d/1SX6NBoVAgQJ6U1MVXOaj8PK2l7WJ3RER9xtqwdhxkhw/edit?usp=sharing"",""นครปฐม!J169"")"),0)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IFERROR(__xludf.DUMMYFUNCTION("IMPORTRANGE(""https://docs.google.com/spreadsheets/d/1Yj_ptqi66GCucihVvJfMjLAmec39IyEx_6qawtMGysU/edit?usp=sharing"",""สบก!CB66"")"),0)</f>
        <v>0</v>
      </c>
      <c r="N254" s="169">
        <f ca="1">IFERROR(__xludf.DUMMYFUNCTION("IMPORTRANGE(""https://docs.google.com/spreadsheets/d/1Yj_ptqi66GCucihVvJfMjLAmec39IyEx_6qawtMGysU/edit?usp=sharing"",""สบก!CC66"")"),0)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IFERROR(__xludf.DUMMYFUNCTION("IMPORTRANGE(""https://docs.google.com/spreadsheets/d/1Yj_ptqi66GCucihVvJfMjLAmec39IyEx_6qawtMGysU/edit?usp=sharing"",""สบก!BX66"")"),0)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IFERROR(__xludf.DUMMYFUNCTION("IMPORTRANGE(""https://docs.google.com/spreadsheets/d/1Yj_ptqi66GCucihVvJfMjLAmec39IyEx_6qawtMGysU/edit?usp=sharing"",""สบก!BY66"")"),0)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IFERROR(__xludf.DUMMYFUNCTION("IMPORTRANGE(""https://docs.google.com/spreadsheets/d/1Yj_ptqi66GCucihVvJfMjLAmec39IyEx_6qawtMGysU/edit?usp=sharing"",""สบก!BZ66"")"),0)</f>
        <v>0</v>
      </c>
      <c r="M258" s="49"/>
      <c r="N258" s="49">
        <f ca="1">IFERROR(__xludf.DUMMYFUNCTION("IMPORTRANGE(""https://docs.google.com/spreadsheets/d/1Yj_ptqi66GCucihVvJfMjLAmec39IyEx_6qawtMGysU/edit?usp=sharing"",""สบก!CD66"")"),0)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IFERROR(__xludf.DUMMYFUNCTION("IMPORTRANGE(""https://docs.google.com/spreadsheets/d/1SX6NBoVAgQJ6U1MVXOaj8PK2l7WJ3RER9xtqwdhxkhw/edit?usp=sharing"",""นครปฐม!J175"")"),0)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IFERROR(__xludf.DUMMYFUNCTION("IMPORTRANGE(""https://docs.google.com/spreadsheets/d/1SX6NBoVAgQJ6U1MVXOaj8PK2l7WJ3RER9xtqwdhxkhw/edit?usp=sharing"",""นครปฐม!J176"")"),0)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IFERROR(__xludf.DUMMYFUNCTION("IMPORTRANGE(""https://docs.google.com/spreadsheets/d/1SX6NBoVAgQJ6U1MVXOaj8PK2l7WJ3RER9xtqwdhxkhw/edit?usp=sharing"",""นครปฐม!J177"")"),0)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IFERROR(__xludf.DUMMYFUNCTION("IMPORTRANGE(""https://docs.google.com/spreadsheets/d/1SX6NBoVAgQJ6U1MVXOaj8PK2l7WJ3RER9xtqwdhxkhw/edit?usp=sharing"",""นครปฐม!J178"")"),0)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IFERROR(__xludf.DUMMYFUNCTION("IMPORTRANGE(""https://docs.google.com/spreadsheets/d/1SX6NBoVAgQJ6U1MVXOaj8PK2l7WJ3RER9xtqwdhxkhw/edit?usp=sharing"",""นครปฐม!I179"")"),0)</f>
        <v>0</v>
      </c>
      <c r="J264" s="189">
        <f ca="1">IFERROR(__xludf.DUMMYFUNCTION("IMPORTRANGE(""https://docs.google.com/spreadsheets/d/1SX6NBoVAgQJ6U1MVXOaj8PK2l7WJ3RER9xtqwdhxkhw/edit?usp=sharing"",""นครปฐม!J179"")"),0)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IFERROR(__xludf.DUMMYFUNCTION("IMPORTRANGE(""https://docs.google.com/spreadsheets/d/1SX6NBoVAgQJ6U1MVXOaj8PK2l7WJ3RER9xtqwdhxkhw/edit?usp=sharing"",""นครปฐม!I180"")"),0)</f>
        <v>0</v>
      </c>
      <c r="J265" s="189">
        <f ca="1">IFERROR(__xludf.DUMMYFUNCTION("IMPORTRANGE(""https://docs.google.com/spreadsheets/d/1SX6NBoVAgQJ6U1MVXOaj8PK2l7WJ3RER9xtqwdhxkhw/edit?usp=sharing"",""นครปฐม!J180"")"),0)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IFERROR(__xludf.DUMMYFUNCTION("IMPORTRANGE(""https://docs.google.com/spreadsheets/d/1SX6NBoVAgQJ6U1MVXOaj8PK2l7WJ3RER9xtqwdhxkhw/edit?usp=sharing"",""นครปฐม!I181"")"),0)</f>
        <v>0</v>
      </c>
      <c r="J266" s="189">
        <f ca="1">IFERROR(__xludf.DUMMYFUNCTION("IMPORTRANGE(""https://docs.google.com/spreadsheets/d/1SX6NBoVAgQJ6U1MVXOaj8PK2l7WJ3RER9xtqwdhxkhw/edit?usp=sharing"",""นครปฐม!J181"")"),0)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IFERROR(__xludf.DUMMYFUNCTION("IMPORTRANGE(""https://docs.google.com/spreadsheets/d/1SX6NBoVAgQJ6U1MVXOaj8PK2l7WJ3RER9xtqwdhxkhw/edit?usp=sharing"",""นครปฐม!I182"")"),0)</f>
        <v>0</v>
      </c>
      <c r="J267" s="189">
        <f ca="1">IFERROR(__xludf.DUMMYFUNCTION("IMPORTRANGE(""https://docs.google.com/spreadsheets/d/1SX6NBoVAgQJ6U1MVXOaj8PK2l7WJ3RER9xtqwdhxkhw/edit?usp=sharing"",""นครปฐม!J182"")"),0)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IFERROR(__xludf.DUMMYFUNCTION("IMPORTRANGE(""https://docs.google.com/spreadsheets/d/1SX6NBoVAgQJ6U1MVXOaj8PK2l7WJ3RER9xtqwdhxkhw/edit?usp=sharing"",""นครปฐม!J183"")"),0)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IFERROR(__xludf.DUMMYFUNCTION("IMPORTRANGE(""https://docs.google.com/spreadsheets/d/1SX6NBoVAgQJ6U1MVXOaj8PK2l7WJ3RER9xtqwdhxkhw/edit?usp=sharing"",""นครปฐม!J184"")"),0)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IFERROR(__xludf.DUMMYFUNCTION("IMPORTRANGE(""https://docs.google.com/spreadsheets/d/1SX6NBoVAgQJ6U1MVXOaj8PK2l7WJ3RER9xtqwdhxkhw/edit?usp=sharing"",""นครปฐม!I185"")"),0)</f>
        <v>0</v>
      </c>
      <c r="J270" s="316">
        <f ca="1">IFERROR(__xludf.DUMMYFUNCTION("IMPORTRANGE(""https://docs.google.com/spreadsheets/d/1SX6NBoVAgQJ6U1MVXOaj8PK2l7WJ3RER9xtqwdhxkhw/edit?usp=sharing"",""นครปฐม!J185"")"),0)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IFERROR(__xludf.DUMMYFUNCTION("IMPORTRANGE(""https://docs.google.com/spreadsheets/d/1Yj_ptqi66GCucihVvJfMjLAmec39IyEx_6qawtMGysU/edit?usp=sharing"",""สบก!CK66"")"),0)</f>
        <v>0</v>
      </c>
      <c r="N275" s="169">
        <f ca="1">IFERROR(__xludf.DUMMYFUNCTION("IMPORTRANGE(""https://docs.google.com/spreadsheets/d/1Yj_ptqi66GCucihVvJfMjLAmec39IyEx_6qawtMGysU/edit?usp=sharing"",""สบก!CL66"")"),0)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IFERROR(__xludf.DUMMYFUNCTION("IMPORTRANGE(""https://docs.google.com/spreadsheets/d/1Yj_ptqi66GCucihVvJfMjLAmec39IyEx_6qawtMGysU/edit?usp=sharing"",""สบก!CG66"")"),0)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IFERROR(__xludf.DUMMYFUNCTION("IMPORTRANGE(""https://docs.google.com/spreadsheets/d/1Yj_ptqi66GCucihVvJfMjLAmec39IyEx_6qawtMGysU/edit?usp=sharing"",""สบก!CH66"")"),0)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IFERROR(__xludf.DUMMYFUNCTION("IMPORTRANGE(""https://docs.google.com/spreadsheets/d/1Yj_ptqi66GCucihVvJfMjLAmec39IyEx_6qawtMGysU/edit?usp=sharing"",""สบก!CI66"")"),0)</f>
        <v>0</v>
      </c>
      <c r="M279" s="49"/>
      <c r="N279" s="49">
        <f ca="1">IFERROR(__xludf.DUMMYFUNCTION("IMPORTRANGE(""https://docs.google.com/spreadsheets/d/1Yj_ptqi66GCucihVvJfMjLAmec39IyEx_6qawtMGysU/edit?usp=sharing"",""สบก!CM66"")"),0)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IFERROR(__xludf.DUMMYFUNCTION("IMPORTRANGE(""https://docs.google.com/spreadsheets/d/1SX6NBoVAgQJ6U1MVXOaj8PK2l7WJ3RER9xtqwdhxkhw/edit?usp=sharing"",""นครปฐม!J191"")"),0)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IFERROR(__xludf.DUMMYFUNCTION("IMPORTRANGE(""https://docs.google.com/spreadsheets/d/1SX6NBoVAgQJ6U1MVXOaj8PK2l7WJ3RER9xtqwdhxkhw/edit?usp=sharing"",""นครปฐม!J192"")"),0)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IFERROR(__xludf.DUMMYFUNCTION("IMPORTRANGE(""https://docs.google.com/spreadsheets/d/1SX6NBoVAgQJ6U1MVXOaj8PK2l7WJ3RER9xtqwdhxkhw/edit?usp=sharing"",""นครปฐม!J193"")"),0)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IFERROR(__xludf.DUMMYFUNCTION("IMPORTRANGE(""https://docs.google.com/spreadsheets/d/1SX6NBoVAgQJ6U1MVXOaj8PK2l7WJ3RER9xtqwdhxkhw/edit?usp=sharing"",""นครปฐม!J194"")"),0)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IFERROR(__xludf.DUMMYFUNCTION("IMPORTRANGE(""https://docs.google.com/spreadsheets/d/1SX6NBoVAgQJ6U1MVXOaj8PK2l7WJ3RER9xtqwdhxkhw/edit?usp=sharing"",""นครปฐม!I195"")"),0)</f>
        <v>0</v>
      </c>
      <c r="J285" s="189">
        <f ca="1">IFERROR(__xludf.DUMMYFUNCTION("IMPORTRANGE(""https://docs.google.com/spreadsheets/d/1SX6NBoVAgQJ6U1MVXOaj8PK2l7WJ3RER9xtqwdhxkhw/edit?usp=sharing"",""นครปฐม!J195"")"),0)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IFERROR(__xludf.DUMMYFUNCTION("IMPORTRANGE(""https://docs.google.com/spreadsheets/d/1SX6NBoVAgQJ6U1MVXOaj8PK2l7WJ3RER9xtqwdhxkhw/edit?usp=sharing"",""นครปฐม!J196"")"),0)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IFERROR(__xludf.DUMMYFUNCTION("IMPORTRANGE(""https://docs.google.com/spreadsheets/d/1SX6NBoVAgQJ6U1MVXOaj8PK2l7WJ3RER9xtqwdhxkhw/edit?usp=sharing"",""นครปฐม!J197"")"),0)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IFERROR(__xludf.DUMMYFUNCTION("IMPORTRANGE(""https://docs.google.com/spreadsheets/d/1SX6NBoVAgQJ6U1MVXOaj8PK2l7WJ3RER9xtqwdhxkhw/edit?usp=sharing"",""นครปฐม!I199"")"),0)</f>
        <v>0</v>
      </c>
      <c r="J289" s="316">
        <f ca="1">IFERROR(__xludf.DUMMYFUNCTION("IMPORTRANGE(""https://docs.google.com/spreadsheets/d/1SX6NBoVAgQJ6U1MVXOaj8PK2l7WJ3RER9xtqwdhxkhw/edit?usp=sharing"",""นครปฐม!J199"")"),0)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IFERROR(__xludf.DUMMYFUNCTION("IMPORTRANGE(""https://docs.google.com/spreadsheets/d/1Yj_ptqi66GCucihVvJfMjLAmec39IyEx_6qawtMGysU/edit?usp=sharing"",""สบก!CT66"")"),0)</f>
        <v>0</v>
      </c>
      <c r="N294" s="169">
        <f ca="1">IFERROR(__xludf.DUMMYFUNCTION("IMPORTRANGE(""https://docs.google.com/spreadsheets/d/1Yj_ptqi66GCucihVvJfMjLAmec39IyEx_6qawtMGysU/edit?usp=sharing"",""สบก!CU66"")"),0)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IFERROR(__xludf.DUMMYFUNCTION("IMPORTRANGE(""https://docs.google.com/spreadsheets/d/1Yj_ptqi66GCucihVvJfMjLAmec39IyEx_6qawtMGysU/edit?usp=sharing"",""สบก!CP66"")"),0)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IFERROR(__xludf.DUMMYFUNCTION("IMPORTRANGE(""https://docs.google.com/spreadsheets/d/1Yj_ptqi66GCucihVvJfMjLAmec39IyEx_6qawtMGysU/edit?usp=sharing"",""สบก!CQ66"")"),0)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IFERROR(__xludf.DUMMYFUNCTION("IMPORTRANGE(""https://docs.google.com/spreadsheets/d/1Yj_ptqi66GCucihVvJfMjLAmec39IyEx_6qawtMGysU/edit?usp=sharing"",""สบก!CR66"")"),0)</f>
        <v>0</v>
      </c>
      <c r="M298" s="49"/>
      <c r="N298" s="49">
        <f ca="1">IFERROR(__xludf.DUMMYFUNCTION("IMPORTRANGE(""https://docs.google.com/spreadsheets/d/1Yj_ptqi66GCucihVvJfMjLAmec39IyEx_6qawtMGysU/edit?usp=sharing"",""สบก!CV66"")"),0)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IFERROR(__xludf.DUMMYFUNCTION("IMPORTRANGE(""https://docs.google.com/spreadsheets/d/1SX6NBoVAgQJ6U1MVXOaj8PK2l7WJ3RER9xtqwdhxkhw/edit?usp=sharing"",""นครปฐม!J205"")"),0)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IFERROR(__xludf.DUMMYFUNCTION("IMPORTRANGE(""https://docs.google.com/spreadsheets/d/1SX6NBoVAgQJ6U1MVXOaj8PK2l7WJ3RER9xtqwdhxkhw/edit?usp=sharing"",""นครปฐม!J206"")"),0)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IFERROR(__xludf.DUMMYFUNCTION("IMPORTRANGE(""https://docs.google.com/spreadsheets/d/1SX6NBoVAgQJ6U1MVXOaj8PK2l7WJ3RER9xtqwdhxkhw/edit?usp=sharing"",""นครปฐม!J207"")"),0)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IFERROR(__xludf.DUMMYFUNCTION("IMPORTRANGE(""https://docs.google.com/spreadsheets/d/1SX6NBoVAgQJ6U1MVXOaj8PK2l7WJ3RER9xtqwdhxkhw/edit?usp=sharing"",""นครปฐม!J208"")"),0)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IFERROR(__xludf.DUMMYFUNCTION("IMPORTRANGE(""https://docs.google.com/spreadsheets/d/1SX6NBoVAgQJ6U1MVXOaj8PK2l7WJ3RER9xtqwdhxkhw/edit?usp=sharing"",""นครปฐม!I209"")"),0)</f>
        <v>0</v>
      </c>
      <c r="J304" s="204">
        <f ca="1">IFERROR(__xludf.DUMMYFUNCTION("IMPORTRANGE(""https://docs.google.com/spreadsheets/d/1SX6NBoVAgQJ6U1MVXOaj8PK2l7WJ3RER9xtqwdhxkhw/edit?usp=sharing"",""นครปฐม!J209"")"),0)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IFERROR(__xludf.DUMMYFUNCTION("IMPORTRANGE(""https://docs.google.com/spreadsheets/d/1SX6NBoVAgQJ6U1MVXOaj8PK2l7WJ3RER9xtqwdhxkhw/edit?usp=sharing"",""นครปฐม!I211"")"),0)</f>
        <v>0</v>
      </c>
      <c r="J306" s="204">
        <f ca="1">IFERROR(__xludf.DUMMYFUNCTION("IMPORTRANGE(""https://docs.google.com/spreadsheets/d/1SX6NBoVAgQJ6U1MVXOaj8PK2l7WJ3RER9xtqwdhxkhw/edit?usp=sharing"",""นครปฐม!J211"")"),0)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IFERROR(__xludf.DUMMYFUNCTION("IMPORTRANGE(""https://docs.google.com/spreadsheets/d/1SX6NBoVAgQJ6U1MVXOaj8PK2l7WJ3RER9xtqwdhxkhw/edit?usp=sharing"",""นครปฐม!J212"")"),0)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IFERROR(__xludf.DUMMYFUNCTION("IMPORTRANGE(""https://docs.google.com/spreadsheets/d/1SX6NBoVAgQJ6U1MVXOaj8PK2l7WJ3RER9xtqwdhxkhw/edit?usp=sharing"",""นครปฐม!J213"")"),0)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IFERROR(__xludf.DUMMYFUNCTION("IMPORTRANGE(""https://docs.google.com/spreadsheets/d/1SX6NBoVAgQJ6U1MVXOaj8PK2l7WJ3RER9xtqwdhxkhw/edit?usp=sharing"",""นครปฐม!I214"")"),0)</f>
        <v>0</v>
      </c>
      <c r="J309" s="333">
        <f ca="1">IFERROR(__xludf.DUMMYFUNCTION("IMPORTRANGE(""https://docs.google.com/spreadsheets/d/1SX6NBoVAgQJ6U1MVXOaj8PK2l7WJ3RER9xtqwdhxkhw/edit?usp=sharing"",""นครปฐม!J214"")"),0)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IFERROR(__xludf.DUMMYFUNCTION("IMPORTRANGE(""https://docs.google.com/spreadsheets/d/1Yj_ptqi66GCucihVvJfMjLAmec39IyEx_6qawtMGysU/edit?usp=sharing"",""สบก!DC66"")"),0)</f>
        <v>0</v>
      </c>
      <c r="N314" s="169">
        <f ca="1">IFERROR(__xludf.DUMMYFUNCTION("IMPORTRANGE(""https://docs.google.com/spreadsheets/d/1Yj_ptqi66GCucihVvJfMjLAmec39IyEx_6qawtMGysU/edit?usp=sharing"",""สบก!DD66"")"),0)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IFERROR(__xludf.DUMMYFUNCTION("IMPORTRANGE(""https://docs.google.com/spreadsheets/d/1Yj_ptqi66GCucihVvJfMjLAmec39IyEx_6qawtMGysU/edit?usp=sharing"",""สบก!CY66"")"),0)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IFERROR(__xludf.DUMMYFUNCTION("IMPORTRANGE(""https://docs.google.com/spreadsheets/d/1Yj_ptqi66GCucihVvJfMjLAmec39IyEx_6qawtMGysU/edit?usp=sharing"",""สบก!CZ66"")"),0)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IFERROR(__xludf.DUMMYFUNCTION("IMPORTRANGE(""https://docs.google.com/spreadsheets/d/1Yj_ptqi66GCucihVvJfMjLAmec39IyEx_6qawtMGysU/edit?usp=sharing"",""สบก!DA66"")"),0)</f>
        <v>0</v>
      </c>
      <c r="M318" s="49"/>
      <c r="N318" s="49">
        <f ca="1">IFERROR(__xludf.DUMMYFUNCTION("IMPORTRANGE(""https://docs.google.com/spreadsheets/d/1Yj_ptqi66GCucihVvJfMjLAmec39IyEx_6qawtMGysU/edit?usp=sharing"",""สบก!DE66"")"),0)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IFERROR(__xludf.DUMMYFUNCTION("IMPORTRANGE(""https://docs.google.com/spreadsheets/d/1SX6NBoVAgQJ6U1MVXOaj8PK2l7WJ3RER9xtqwdhxkhw/edit?usp=sharing"",""นครปฐม!J220"")"),0)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IFERROR(__xludf.DUMMYFUNCTION("IMPORTRANGE(""https://docs.google.com/spreadsheets/d/1SX6NBoVAgQJ6U1MVXOaj8PK2l7WJ3RER9xtqwdhxkhw/edit?usp=sharing"",""นครปฐม!J221"")"),0)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IFERROR(__xludf.DUMMYFUNCTION("IMPORTRANGE(""https://docs.google.com/spreadsheets/d/1SX6NBoVAgQJ6U1MVXOaj8PK2l7WJ3RER9xtqwdhxkhw/edit?usp=sharing"",""นครปฐม!J222"")"),0)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IFERROR(__xludf.DUMMYFUNCTION("IMPORTRANGE(""https://docs.google.com/spreadsheets/d/1SX6NBoVAgQJ6U1MVXOaj8PK2l7WJ3RER9xtqwdhxkhw/edit?usp=sharing"",""นครปฐม!J223"")"),0)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IFERROR(__xludf.DUMMYFUNCTION("IMPORTRANGE(""https://docs.google.com/spreadsheets/d/1SX6NBoVAgQJ6U1MVXOaj8PK2l7WJ3RER9xtqwdhxkhw/edit?usp=sharing"",""นครปฐม!I224"")"),0)</f>
        <v>0</v>
      </c>
      <c r="J324" s="204">
        <f ca="1">IFERROR(__xludf.DUMMYFUNCTION("IMPORTRANGE(""https://docs.google.com/spreadsheets/d/1SX6NBoVAgQJ6U1MVXOaj8PK2l7WJ3RER9xtqwdhxkhw/edit?usp=sharing"",""นครปฐม!J224"")"),0)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IFERROR(__xludf.DUMMYFUNCTION("IMPORTRANGE(""https://docs.google.com/spreadsheets/d/1SX6NBoVAgQJ6U1MVXOaj8PK2l7WJ3RER9xtqwdhxkhw/edit?usp=sharing"",""นครปฐม!J225"")"),0)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IFERROR(__xludf.DUMMYFUNCTION("IMPORTRANGE(""https://docs.google.com/spreadsheets/d/1SX6NBoVAgQJ6U1MVXOaj8PK2l7WJ3RER9xtqwdhxkhw/edit?usp=sharing"",""นครปฐม!J226"")"),0)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IFERROR(__xludf.DUMMYFUNCTION("IMPORTRANGE(""https://docs.google.com/spreadsheets/d/1SX6NBoVAgQJ6U1MVXOaj8PK2l7WJ3RER9xtqwdhxkhw/edit?usp=sharing"",""นครปฐม!I228"")"),0)</f>
        <v>0</v>
      </c>
      <c r="J328" s="339">
        <f ca="1">IFERROR(__xludf.DUMMYFUNCTION("IMPORTRANGE(""https://docs.google.com/spreadsheets/d/1SX6NBoVAgQJ6U1MVXOaj8PK2l7WJ3RER9xtqwdhxkhw/edit?usp=sharing"",""นครปฐม!J228"")"),0)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628660</v>
      </c>
      <c r="M329" s="152">
        <f t="shared" ca="1" si="98"/>
        <v>497110</v>
      </c>
      <c r="N329" s="152">
        <f t="shared" ca="1" si="98"/>
        <v>362320</v>
      </c>
      <c r="O329" s="151">
        <f t="shared" ref="O329:O331" ca="1" si="99">IF(L329&gt;0,N329*100/L329,0)</f>
        <v>57.633697069958323</v>
      </c>
      <c r="P329" s="151">
        <f t="shared" ref="P329:P331" ca="1" si="100">IF(M329&gt;0,N329*100/M329,0)</f>
        <v>72.885276900484797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628660</v>
      </c>
      <c r="M331" s="157">
        <f t="shared" ca="1" si="102"/>
        <v>497110</v>
      </c>
      <c r="N331" s="157">
        <f t="shared" ca="1" si="102"/>
        <v>362320</v>
      </c>
      <c r="O331" s="156">
        <f t="shared" ca="1" si="99"/>
        <v>57.633697069958323</v>
      </c>
      <c r="P331" s="156">
        <f t="shared" ca="1" si="100"/>
        <v>72.885276900484797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IFERROR(__xludf.DUMMYFUNCTION("IMPORTRANGE(""https://docs.google.com/spreadsheets/d/1Yj_ptqi66GCucihVvJfMjLAmec39IyEx_6qawtMGysU/edit?usp=sharing"",""สบก!DL66"")"),354560)</f>
        <v>354560</v>
      </c>
      <c r="N333" s="169">
        <f ca="1">IFERROR(__xludf.DUMMYFUNCTION("IMPORTRANGE(""https://docs.google.com/spreadsheets/d/1Yj_ptqi66GCucihVvJfMjLAmec39IyEx_6qawtMGysU/edit?usp=sharing"",""สบก!DM66"")"),219770)</f>
        <v>219770</v>
      </c>
      <c r="O333" s="169">
        <f ca="1">IF(L333&gt;0,N333*100/L333,0)</f>
        <v>45.20993190841579</v>
      </c>
      <c r="P333" s="169">
        <f ca="1">IF(M333&gt;0,N333*100/M333,0)</f>
        <v>61.983867328519857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IFERROR(__xludf.DUMMYFUNCTION("IMPORTRANGE(""https://docs.google.com/spreadsheets/d/1Yj_ptqi66GCucihVvJfMjLAmec39IyEx_6qawtMGysU/edit?usp=sharing"",""สบก!DH66"")"),306000)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IFERROR(__xludf.DUMMYFUNCTION("IMPORTRANGE(""https://docs.google.com/spreadsheets/d/1Yj_ptqi66GCucihVvJfMjLAmec39IyEx_6qawtMGysU/edit?usp=sharing"",""สบก!DI66"")"),180110)</f>
        <v>180110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IFERROR(__xludf.DUMMYFUNCTION("IMPORTRANGE(""https://docs.google.com/spreadsheets/d/1Yj_ptqi66GCucihVvJfMjLAmec39IyEx_6qawtMGysU/edit?usp=sharing"",""สบก!DJ66"")"),142550)</f>
        <v>142550</v>
      </c>
      <c r="M337" s="49">
        <f ca="1">L337</f>
        <v>142550</v>
      </c>
      <c r="N337" s="49">
        <f ca="1">IFERROR(__xludf.DUMMYFUNCTION("IMPORTRANGE(""https://docs.google.com/spreadsheets/d/1Yj_ptqi66GCucihVvJfMjLAmec39IyEx_6qawtMGysU/edit?usp=sharing"",""สบก!DN66"")"),142550)</f>
        <v>142550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IFERROR(__xludf.DUMMYFUNCTION("IMPORTRANGE(""https://docs.google.com/spreadsheets/d/1SX6NBoVAgQJ6U1MVXOaj8PK2l7WJ3RER9xtqwdhxkhw/edit?usp=sharing"",""นครปฐม!I234"")"),0)</f>
        <v>0</v>
      </c>
      <c r="J339" s="188">
        <f ca="1">IFERROR(__xludf.DUMMYFUNCTION("IMPORTRANGE(""https://docs.google.com/spreadsheets/d/1SX6NBoVAgQJ6U1MVXOaj8PK2l7WJ3RER9xtqwdhxkhw/edit?usp=sharing"",""นครปฐม!J234"")"),0)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IFERROR(__xludf.DUMMYFUNCTION("IMPORTRANGE(""https://docs.google.com/spreadsheets/d/1SX6NBoVAgQJ6U1MVXOaj8PK2l7WJ3RER9xtqwdhxkhw/edit?usp=sharing"",""นครปฐม!I235"")"),0)</f>
        <v>0</v>
      </c>
      <c r="J340" s="188">
        <f ca="1">IFERROR(__xludf.DUMMYFUNCTION("IMPORTRANGE(""https://docs.google.com/spreadsheets/d/1SX6NBoVAgQJ6U1MVXOaj8PK2l7WJ3RER9xtqwdhxkhw/edit?usp=sharing"",""นครปฐม!J235"")"),0)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IFERROR(__xludf.DUMMYFUNCTION("IMPORTRANGE(""https://docs.google.com/spreadsheets/d/1SX6NBoVAgQJ6U1MVXOaj8PK2l7WJ3RER9xtqwdhxkhw/edit?usp=sharing"",""นครปฐม!I236"")"),0)</f>
        <v>0</v>
      </c>
      <c r="J341" s="188">
        <f ca="1">IFERROR(__xludf.DUMMYFUNCTION("IMPORTRANGE(""https://docs.google.com/spreadsheets/d/1SX6NBoVAgQJ6U1MVXOaj8PK2l7WJ3RER9xtqwdhxkhw/edit?usp=sharing"",""นครปฐม!J236"")"),0)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IFERROR(__xludf.DUMMYFUNCTION("IMPORTRANGE(""https://docs.google.com/spreadsheets/d/1SX6NBoVAgQJ6U1MVXOaj8PK2l7WJ3RER9xtqwdhxkhw/edit?usp=sharing"",""นครปฐม!I237"")"),0)</f>
        <v>0</v>
      </c>
      <c r="J342" s="188">
        <f ca="1">IFERROR(__xludf.DUMMYFUNCTION("IMPORTRANGE(""https://docs.google.com/spreadsheets/d/1SX6NBoVAgQJ6U1MVXOaj8PK2l7WJ3RER9xtqwdhxkhw/edit?usp=sharing"",""นครปฐม!J237"")"),0)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IFERROR(__xludf.DUMMYFUNCTION("IMPORTRANGE(""https://docs.google.com/spreadsheets/d/1SX6NBoVAgQJ6U1MVXOaj8PK2l7WJ3RER9xtqwdhxkhw/edit?usp=sharing"",""นครปฐม!I238"")"),0)</f>
        <v>0</v>
      </c>
      <c r="J343" s="188">
        <f ca="1">IFERROR(__xludf.DUMMYFUNCTION("IMPORTRANGE(""https://docs.google.com/spreadsheets/d/1SX6NBoVAgQJ6U1MVXOaj8PK2l7WJ3RER9xtqwdhxkhw/edit?usp=sharing"",""นครปฐม!J238"")"),0)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IFERROR(__xludf.DUMMYFUNCTION("IMPORTRANGE(""https://docs.google.com/spreadsheets/d/1SX6NBoVAgQJ6U1MVXOaj8PK2l7WJ3RER9xtqwdhxkhw/edit?usp=sharing"",""นครปฐม!I239"")"),0)</f>
        <v>0</v>
      </c>
      <c r="J344" s="188">
        <f ca="1">IFERROR(__xludf.DUMMYFUNCTION("IMPORTRANGE(""https://docs.google.com/spreadsheets/d/1SX6NBoVAgQJ6U1MVXOaj8PK2l7WJ3RER9xtqwdhxkhw/edit?usp=sharing"",""นครปฐม!J239"")"),0)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IFERROR(__xludf.DUMMYFUNCTION("IMPORTRANGE(""https://docs.google.com/spreadsheets/d/1SX6NBoVAgQJ6U1MVXOaj8PK2l7WJ3RER9xtqwdhxkhw/edit?usp=sharing"",""นครปฐม!I240"")"),0)</f>
        <v>0</v>
      </c>
      <c r="J345" s="188">
        <f ca="1">IFERROR(__xludf.DUMMYFUNCTION("IMPORTRANGE(""https://docs.google.com/spreadsheets/d/1SX6NBoVAgQJ6U1MVXOaj8PK2l7WJ3RER9xtqwdhxkhw/edit?usp=sharing"",""นครปฐม!J240"")"),0)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IFERROR(__xludf.DUMMYFUNCTION("IMPORTRANGE(""https://docs.google.com/spreadsheets/d/1SX6NBoVAgQJ6U1MVXOaj8PK2l7WJ3RER9xtqwdhxkhw/edit?usp=sharing"",""นครปฐม!I241"")"),0)</f>
        <v>0</v>
      </c>
      <c r="J346" s="188">
        <f ca="1">IFERROR(__xludf.DUMMYFUNCTION("IMPORTRANGE(""https://docs.google.com/spreadsheets/d/1SX6NBoVAgQJ6U1MVXOaj8PK2l7WJ3RER9xtqwdhxkhw/edit?usp=sharing"",""นครปฐม!J241"")"),0)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IFERROR(__xludf.DUMMYFUNCTION("IMPORTRANGE(""https://docs.google.com/spreadsheets/d/1SX6NBoVAgQJ6U1MVXOaj8PK2l7WJ3RER9xtqwdhxkhw/edit?usp=sharing"",""นครปฐม!L242"")"),359600)</f>
        <v>359600</v>
      </c>
      <c r="M347" s="358"/>
      <c r="N347" s="358">
        <f ca="1">IFERROR(__xludf.DUMMYFUNCTION("IMPORTRANGE(""https://docs.google.com/spreadsheets/d/1SX6NBoVAgQJ6U1MVXOaj8PK2l7WJ3RER9xtqwdhxkhw/edit?usp=sharing"",""นครปฐม!M242"")"),218610.72)</f>
        <v>218610.72</v>
      </c>
      <c r="O347" s="358">
        <f ca="1">+IF(L347&gt;0,N347*100/L347,0)</f>
        <v>60.792747497219132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IFERROR(__xludf.DUMMYFUNCTION("IMPORTRANGE(""https://docs.google.com/spreadsheets/d/1SX6NBoVAgQJ6U1MVXOaj8PK2l7WJ3RER9xtqwdhxkhw/edit?usp=sharing"",""นครปฐม!I244"")"),0)</f>
        <v>0</v>
      </c>
      <c r="J349" s="371">
        <f ca="1">IFERROR(__xludf.DUMMYFUNCTION("IMPORTRANGE(""https://docs.google.com/spreadsheets/d/1SX6NBoVAgQJ6U1MVXOaj8PK2l7WJ3RER9xtqwdhxkhw/edit?usp=sharing"",""นครปฐม!J244"")"),0)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IFERROR(__xludf.DUMMYFUNCTION("IMPORTRANGE(""https://docs.google.com/spreadsheets/d/1SX6NBoVAgQJ6U1MVXOaj8PK2l7WJ3RER9xtqwdhxkhw/edit?usp=sharing"",""นครปฐม!L244"")"),0)</f>
        <v>0</v>
      </c>
      <c r="M349" s="373"/>
      <c r="N349" s="373">
        <f ca="1">IFERROR(__xludf.DUMMYFUNCTION("IMPORTRANGE(""https://docs.google.com/spreadsheets/d/1SX6NBoVAgQJ6U1MVXOaj8PK2l7WJ3RER9xtqwdhxkhw/edit?usp=sharing"",""นครปฐม!M244"")"),0)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IFERROR(__xludf.DUMMYFUNCTION("IMPORTRANGE(""https://docs.google.com/spreadsheets/d/1SX6NBoVAgQJ6U1MVXOaj8PK2l7WJ3RER9xtqwdhxkhw/edit?usp=sharing"",""นครปฐม!I245"")"),0)</f>
        <v>0</v>
      </c>
      <c r="J350" s="371">
        <f ca="1">IFERROR(__xludf.DUMMYFUNCTION("IMPORTRANGE(""https://docs.google.com/spreadsheets/d/1SX6NBoVAgQJ6U1MVXOaj8PK2l7WJ3RER9xtqwdhxkhw/edit?usp=sharing"",""นครปฐม!J245"")"),0)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IFERROR(__xludf.DUMMYFUNCTION("IMPORTRANGE(""https://docs.google.com/spreadsheets/d/1SX6NBoVAgQJ6U1MVXOaj8PK2l7WJ3RER9xtqwdhxkhw/edit?usp=sharing"",""นครปฐม!L246"")"),0)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IFERROR(__xludf.DUMMYFUNCTION("IMPORTRANGE(""https://docs.google.com/spreadsheets/d/1SX6NBoVAgQJ6U1MVXOaj8PK2l7WJ3RER9xtqwdhxkhw/edit?usp=sharing"",""นครปฐม!M246"")"),0)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IFERROR(__xludf.DUMMYFUNCTION("IMPORTRANGE(""https://docs.google.com/spreadsheets/d/1SX6NBoVAgQJ6U1MVXOaj8PK2l7WJ3RER9xtqwdhxkhw/edit?usp=sharing"",""นครปฐม!L247"")"),0)</f>
        <v>0</v>
      </c>
      <c r="M352" s="165"/>
      <c r="N352" s="164">
        <f ca="1">IFERROR(__xludf.DUMMYFUNCTION("IMPORTRANGE(""https://docs.google.com/spreadsheets/d/1SX6NBoVAgQJ6U1MVXOaj8PK2l7WJ3RER9xtqwdhxkhw/edit?usp=sharing"",""นครปฐม!M247"")"),0)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IFERROR(__xludf.DUMMYFUNCTION("IMPORTRANGE(""https://docs.google.com/spreadsheets/d/1SX6NBoVAgQJ6U1MVXOaj8PK2l7WJ3RER9xtqwdhxkhw/edit?usp=sharing"",""นครปฐม!L248"")"),0)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IFERROR(__xludf.DUMMYFUNCTION("IMPORTRANGE(""https://docs.google.com/spreadsheets/d/1SX6NBoVAgQJ6U1MVXOaj8PK2l7WJ3RER9xtqwdhxkhw/edit?usp=sharing"",""นครปฐม!M248"")"),0)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IFERROR(__xludf.DUMMYFUNCTION("IMPORTRANGE(""https://docs.google.com/spreadsheets/d/1SX6NBoVAgQJ6U1MVXOaj8PK2l7WJ3RER9xtqwdhxkhw/edit?usp=sharing"",""นครปฐม!L249"")"),0)</f>
        <v>0</v>
      </c>
      <c r="M354" s="169"/>
      <c r="N354" s="168">
        <f ca="1">IFERROR(__xludf.DUMMYFUNCTION("IMPORTRANGE(""https://docs.google.com/spreadsheets/d/1SX6NBoVAgQJ6U1MVXOaj8PK2l7WJ3RER9xtqwdhxkhw/edit?usp=sharing"",""นครปฐม!M249"")"),0)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IFERROR(__xludf.DUMMYFUNCTION("IMPORTRANGE(""https://docs.google.com/spreadsheets/d/1SX6NBoVAgQJ6U1MVXOaj8PK2l7WJ3RER9xtqwdhxkhw/edit?usp=sharing"",""นครปฐม!M250"")"),0)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IFERROR(__xludf.DUMMYFUNCTION("IMPORTRANGE(""https://docs.google.com/spreadsheets/d/1SX6NBoVAgQJ6U1MVXOaj8PK2l7WJ3RER9xtqwdhxkhw/edit?usp=sharing"",""นครปฐม!M251"")"),0)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IFERROR(__xludf.DUMMYFUNCTION("IMPORTRANGE(""https://docs.google.com/spreadsheets/d/1SX6NBoVAgQJ6U1MVXOaj8PK2l7WJ3RER9xtqwdhxkhw/edit?usp=sharing"",""นครปฐม!M252"")"),0)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IFERROR(__xludf.DUMMYFUNCTION("IMPORTRANGE(""https://docs.google.com/spreadsheets/d/1SX6NBoVAgQJ6U1MVXOaj8PK2l7WJ3RER9xtqwdhxkhw/edit?usp=sharing"",""นครปฐม!M253"")"),0)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IFERROR(__xludf.DUMMYFUNCTION("IMPORTRANGE(""https://docs.google.com/spreadsheets/d/1SX6NBoVAgQJ6U1MVXOaj8PK2l7WJ3RER9xtqwdhxkhw/edit?usp=sharing"",""นครปฐม!J255"")"),0)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IFERROR(__xludf.DUMMYFUNCTION("IMPORTRANGE(""https://docs.google.com/spreadsheets/d/1SX6NBoVAgQJ6U1MVXOaj8PK2l7WJ3RER9xtqwdhxkhw/edit?usp=sharing"",""นครปฐม!J256"")"),0)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IFERROR(__xludf.DUMMYFUNCTION("IMPORTRANGE(""https://docs.google.com/spreadsheets/d/1SX6NBoVAgQJ6U1MVXOaj8PK2l7WJ3RER9xtqwdhxkhw/edit?usp=sharing"",""นครปฐม!J257"")"),0)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IFERROR(__xludf.DUMMYFUNCTION("IMPORTRANGE(""https://docs.google.com/spreadsheets/d/1SX6NBoVAgQJ6U1MVXOaj8PK2l7WJ3RER9xtqwdhxkhw/edit?usp=sharing"",""นครปฐม!J258"")"),0)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IFERROR(__xludf.DUMMYFUNCTION("IMPORTRANGE(""https://docs.google.com/spreadsheets/d/1SX6NBoVAgQJ6U1MVXOaj8PK2l7WJ3RER9xtqwdhxkhw/edit?usp=sharing"",""นครปฐม!J166"")"),0)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IFERROR(__xludf.DUMMYFUNCTION("IMPORTRANGE(""https://docs.google.com/spreadsheets/d/1SX6NBoVAgQJ6U1MVXOaj8PK2l7WJ3RER9xtqwdhxkhw/edit?usp=sharing"",""นครปฐม!J166"")"),0)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IFERROR(__xludf.DUMMYFUNCTION("IMPORTRANGE(""https://docs.google.com/spreadsheets/d/1SX6NBoVAgQJ6U1MVXOaj8PK2l7WJ3RER9xtqwdhxkhw/edit?usp=sharing"",""นครปฐม!J166"")"),0)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IFERROR(__xludf.DUMMYFUNCTION("IMPORTRANGE(""https://docs.google.com/spreadsheets/d/1SX6NBoVAgQJ6U1MVXOaj8PK2l7WJ3RER9xtqwdhxkhw/edit?usp=sharing"",""นครปฐม!J166"")"),0)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IFERROR(__xludf.DUMMYFUNCTION("IMPORTRANGE(""https://docs.google.com/spreadsheets/d/1SX6NBoVAgQJ6U1MVXOaj8PK2l7WJ3RER9xtqwdhxkhw/edit?usp=sharing"",""นครปฐม!I263"")"),0)</f>
        <v>0</v>
      </c>
      <c r="J368" s="188">
        <f ca="1">IFERROR(__xludf.DUMMYFUNCTION("IMPORTRANGE(""https://docs.google.com/spreadsheets/d/1SX6NBoVAgQJ6U1MVXOaj8PK2l7WJ3RER9xtqwdhxkhw/edit?usp=sharing"",""นครปฐม!J263"")"),0)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IFERROR(__xludf.DUMMYFUNCTION("IMPORTRANGE(""https://docs.google.com/spreadsheets/d/1SX6NBoVAgQJ6U1MVXOaj8PK2l7WJ3RER9xtqwdhxkhw/edit?usp=sharing"",""นครปฐม!I164"")"),0)</f>
        <v>0</v>
      </c>
      <c r="J369" s="204">
        <f ca="1">IFERROR(__xludf.DUMMYFUNCTION("IMPORTRANGE(""https://docs.google.com/spreadsheets/d/1SX6NBoVAgQJ6U1MVXOaj8PK2l7WJ3RER9xtqwdhxkhw/edit?usp=sharing"",""นครปฐม!J164"")"),0)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IFERROR(__xludf.DUMMYFUNCTION("IMPORTRANGE(""https://docs.google.com/spreadsheets/d/1SX6NBoVAgQJ6U1MVXOaj8PK2l7WJ3RER9xtqwdhxkhw/edit?usp=sharing"",""นครปฐม!I265"")"),0)</f>
        <v>0</v>
      </c>
      <c r="J370" s="204">
        <f ca="1">IFERROR(__xludf.DUMMYFUNCTION("IMPORTRANGE(""https://docs.google.com/spreadsheets/d/1SX6NBoVAgQJ6U1MVXOaj8PK2l7WJ3RER9xtqwdhxkhw/edit?usp=sharing"",""นครปฐม!J265"")"),0)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IFERROR(__xludf.DUMMYFUNCTION("IMPORTRANGE(""https://docs.google.com/spreadsheets/d/1SX6NBoVAgQJ6U1MVXOaj8PK2l7WJ3RER9xtqwdhxkhw/edit?usp=sharing"",""นครปฐม!I164"")"),0)</f>
        <v>0</v>
      </c>
      <c r="J371" s="189">
        <f ca="1">IFERROR(__xludf.DUMMYFUNCTION("IMPORTRANGE(""https://docs.google.com/spreadsheets/d/1SX6NBoVAgQJ6U1MVXOaj8PK2l7WJ3RER9xtqwdhxkhw/edit?usp=sharing"",""นครปฐม!J164"")"),0)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IFERROR(__xludf.DUMMYFUNCTION("IMPORTRANGE(""https://docs.google.com/spreadsheets/d/1SX6NBoVAgQJ6U1MVXOaj8PK2l7WJ3RER9xtqwdhxkhw/edit?usp=sharing"",""นครปฐม!I267"")"),0)</f>
        <v>0</v>
      </c>
      <c r="J372" s="189">
        <f ca="1">IFERROR(__xludf.DUMMYFUNCTION("IMPORTRANGE(""https://docs.google.com/spreadsheets/d/1SX6NBoVAgQJ6U1MVXOaj8PK2l7WJ3RER9xtqwdhxkhw/edit?usp=sharing"",""นครปฐม!J267"")"),0)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IFERROR(__xludf.DUMMYFUNCTION("IMPORTRANGE(""https://docs.google.com/spreadsheets/d/1SX6NBoVAgQJ6U1MVXOaj8PK2l7WJ3RER9xtqwdhxkhw/edit?usp=sharing"",""นครปฐม!I164"")"),0)</f>
        <v>0</v>
      </c>
      <c r="J373" s="204">
        <f ca="1">IFERROR(__xludf.DUMMYFUNCTION("IMPORTRANGE(""https://docs.google.com/spreadsheets/d/1SX6NBoVAgQJ6U1MVXOaj8PK2l7WJ3RER9xtqwdhxkhw/edit?usp=sharing"",""นครปฐม!J164"")"),0)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IFERROR(__xludf.DUMMYFUNCTION("IMPORTRANGE(""https://docs.google.com/spreadsheets/d/1SX6NBoVAgQJ6U1MVXOaj8PK2l7WJ3RER9xtqwdhxkhw/edit?usp=sharing"",""นครปฐม!I164"")"),0)</f>
        <v>0</v>
      </c>
      <c r="J374" s="188">
        <f ca="1">IFERROR(__xludf.DUMMYFUNCTION("IMPORTRANGE(""https://docs.google.com/spreadsheets/d/1SX6NBoVAgQJ6U1MVXOaj8PK2l7WJ3RER9xtqwdhxkhw/edit?usp=sharing"",""นครปฐม!J164"")"),0)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IFERROR(__xludf.DUMMYFUNCTION("IMPORTRANGE(""https://docs.google.com/spreadsheets/d/1SX6NBoVAgQJ6U1MVXOaj8PK2l7WJ3RER9xtqwdhxkhw/edit?usp=sharing"",""นครปฐม!I270"")"),0)</f>
        <v>0</v>
      </c>
      <c r="J375" s="188">
        <f ca="1">IFERROR(__xludf.DUMMYFUNCTION("IMPORTRANGE(""https://docs.google.com/spreadsheets/d/1SX6NBoVAgQJ6U1MVXOaj8PK2l7WJ3RER9xtqwdhxkhw/edit?usp=sharing"",""นครปฐม!J270"")"),0)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IFERROR(__xludf.DUMMYFUNCTION("IMPORTRANGE(""https://docs.google.com/spreadsheets/d/1SX6NBoVAgQJ6U1MVXOaj8PK2l7WJ3RER9xtqwdhxkhw/edit?usp=sharing"",""นครปฐม!I271"")"),0)</f>
        <v>0</v>
      </c>
      <c r="J376" s="189">
        <f ca="1">IFERROR(__xludf.DUMMYFUNCTION("IMPORTRANGE(""https://docs.google.com/spreadsheets/d/1SX6NBoVAgQJ6U1MVXOaj8PK2l7WJ3RER9xtqwdhxkhw/edit?usp=sharing"",""นครปฐม!J271"")"),0)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IFERROR(__xludf.DUMMYFUNCTION("IMPORTRANGE(""https://docs.google.com/spreadsheets/d/1SX6NBoVAgQJ6U1MVXOaj8PK2l7WJ3RER9xtqwdhxkhw/edit?usp=sharing"",""นครปฐม!I272"")"),0)</f>
        <v>0</v>
      </c>
      <c r="J377" s="204">
        <f ca="1">IFERROR(__xludf.DUMMYFUNCTION("IMPORTRANGE(""https://docs.google.com/spreadsheets/d/1SX6NBoVAgQJ6U1MVXOaj8PK2l7WJ3RER9xtqwdhxkhw/edit?usp=sharing"",""นครปฐม!J272"")"),0)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IFERROR(__xludf.DUMMYFUNCTION("IMPORTRANGE(""https://docs.google.com/spreadsheets/d/1SX6NBoVAgQJ6U1MVXOaj8PK2l7WJ3RER9xtqwdhxkhw/edit?usp=sharing"",""นครปฐม!J273"")"),0)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IFERROR(__xludf.DUMMYFUNCTION("IMPORTRANGE(""https://docs.google.com/spreadsheets/d/1SX6NBoVAgQJ6U1MVXOaj8PK2l7WJ3RER9xtqwdhxkhw/edit?usp=sharing"",""นครปฐม!J274"")"),0)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IFERROR(__xludf.DUMMYFUNCTION("IMPORTRANGE(""https://docs.google.com/spreadsheets/d/1SX6NBoVAgQJ6U1MVXOaj8PK2l7WJ3RER9xtqwdhxkhw/edit?usp=sharing"",""นครปฐม!I275"")"),0)</f>
        <v>0</v>
      </c>
      <c r="J380" s="371">
        <f ca="1">IFERROR(__xludf.DUMMYFUNCTION("IMPORTRANGE(""https://docs.google.com/spreadsheets/d/1SX6NBoVAgQJ6U1MVXOaj8PK2l7WJ3RER9xtqwdhxkhw/edit?usp=sharing"",""นครปฐม!J275"")"),0)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IFERROR(__xludf.DUMMYFUNCTION("IMPORTRANGE(""https://docs.google.com/spreadsheets/d/1SX6NBoVAgQJ6U1MVXOaj8PK2l7WJ3RER9xtqwdhxkhw/edit?usp=sharing"",""นครปฐม!L275"")"),0)</f>
        <v>0</v>
      </c>
      <c r="M380" s="373"/>
      <c r="N380" s="373">
        <f ca="1">IFERROR(__xludf.DUMMYFUNCTION("IMPORTRANGE(""https://docs.google.com/spreadsheets/d/1SX6NBoVAgQJ6U1MVXOaj8PK2l7WJ3RER9xtqwdhxkhw/edit?usp=sharing"",""นครปฐม!M275"")"),0)</f>
        <v>0</v>
      </c>
      <c r="O380" s="373">
        <f ca="1">+IF(L380&gt;0,N380*100/L380,0)</f>
        <v>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IFERROR(__xludf.DUMMYFUNCTION("IMPORTRANGE(""https://docs.google.com/spreadsheets/d/1SX6NBoVAgQJ6U1MVXOaj8PK2l7WJ3RER9xtqwdhxkhw/edit?usp=sharing"",""นครปฐม!I276"")"),0)</f>
        <v>0</v>
      </c>
      <c r="J381" s="371">
        <f ca="1">IFERROR(__xludf.DUMMYFUNCTION("IMPORTRANGE(""https://docs.google.com/spreadsheets/d/1SX6NBoVAgQJ6U1MVXOaj8PK2l7WJ3RER9xtqwdhxkhw/edit?usp=sharing"",""นครปฐม!J276"")"),0)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IFERROR(__xludf.DUMMYFUNCTION("IMPORTRANGE(""https://docs.google.com/spreadsheets/d/1SX6NBoVAgQJ6U1MVXOaj8PK2l7WJ3RER9xtqwdhxkhw/edit?usp=sharing"",""นครปฐม!L277"")"),0)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IFERROR(__xludf.DUMMYFUNCTION("IMPORTRANGE(""https://docs.google.com/spreadsheets/d/1SX6NBoVAgQJ6U1MVXOaj8PK2l7WJ3RER9xtqwdhxkhw/edit?usp=sharing"",""นครปฐม!M277"")"),0)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IFERROR(__xludf.DUMMYFUNCTION("IMPORTRANGE(""https://docs.google.com/spreadsheets/d/1SX6NBoVAgQJ6U1MVXOaj8PK2l7WJ3RER9xtqwdhxkhw/edit?usp=sharing"",""นครปฐม!L278"")"),0)</f>
        <v>0</v>
      </c>
      <c r="M383" s="165"/>
      <c r="N383" s="165">
        <f ca="1">IFERROR(__xludf.DUMMYFUNCTION("IMPORTRANGE(""https://docs.google.com/spreadsheets/d/1SX6NBoVAgQJ6U1MVXOaj8PK2l7WJ3RER9xtqwdhxkhw/edit?usp=sharing"",""นครปฐม!M278"")"),0)</f>
        <v>0</v>
      </c>
      <c r="O383" s="165">
        <f t="shared" ca="1" si="109"/>
        <v>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IFERROR(__xludf.DUMMYFUNCTION("IMPORTRANGE(""https://docs.google.com/spreadsheets/d/1SX6NBoVAgQJ6U1MVXOaj8PK2l7WJ3RER9xtqwdhxkhw/edit?usp=sharing"",""นครปฐม!L279"")"),0)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IFERROR(__xludf.DUMMYFUNCTION("IMPORTRANGE(""https://docs.google.com/spreadsheets/d/1SX6NBoVAgQJ6U1MVXOaj8PK2l7WJ3RER9xtqwdhxkhw/edit?usp=sharing"",""นครปฐม!M279"")"),0)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IFERROR(__xludf.DUMMYFUNCTION("IMPORTRANGE(""https://docs.google.com/spreadsheets/d/1SX6NBoVAgQJ6U1MVXOaj8PK2l7WJ3RER9xtqwdhxkhw/edit?usp=sharing"",""นครปฐม!L280"")"),0)</f>
        <v>0</v>
      </c>
      <c r="M385" s="169"/>
      <c r="N385" s="168">
        <f ca="1">IFERROR(__xludf.DUMMYFUNCTION("IMPORTRANGE(""https://docs.google.com/spreadsheets/d/1SX6NBoVAgQJ6U1MVXOaj8PK2l7WJ3RER9xtqwdhxkhw/edit?usp=sharing"",""นครปฐม!M280"")"),0)</f>
        <v>0</v>
      </c>
      <c r="O385" s="169">
        <f t="shared" ca="1" si="109"/>
        <v>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IFERROR(__xludf.DUMMYFUNCTION("IMPORTRANGE(""https://docs.google.com/spreadsheets/d/1SX6NBoVAgQJ6U1MVXOaj8PK2l7WJ3RER9xtqwdhxkhw/edit?usp=sharing"",""นครปฐม!M281"")"),0)</f>
        <v>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IFERROR(__xludf.DUMMYFUNCTION("IMPORTRANGE(""https://docs.google.com/spreadsheets/d/1SX6NBoVAgQJ6U1MVXOaj8PK2l7WJ3RER9xtqwdhxkhw/edit?usp=sharing"",""นครปฐม!M282"")"),0)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IFERROR(__xludf.DUMMYFUNCTION("IMPORTRANGE(""https://docs.google.com/spreadsheets/d/1SX6NBoVAgQJ6U1MVXOaj8PK2l7WJ3RER9xtqwdhxkhw/edit?usp=sharing"",""นครปฐม!M283"")"),0)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IFERROR(__xludf.DUMMYFUNCTION("IMPORTRANGE(""https://docs.google.com/spreadsheets/d/1SX6NBoVAgQJ6U1MVXOaj8PK2l7WJ3RER9xtqwdhxkhw/edit?usp=sharing"",""นครปฐม!M284"")"),0)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IFERROR(__xludf.DUMMYFUNCTION("IMPORTRANGE(""https://docs.google.com/spreadsheets/d/1SX6NBoVAgQJ6U1MVXOaj8PK2l7WJ3RER9xtqwdhxkhw/edit?usp=sharing"",""นครปฐม!J286"")"),0)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IFERROR(__xludf.DUMMYFUNCTION("IMPORTRANGE(""https://docs.google.com/spreadsheets/d/1SX6NBoVAgQJ6U1MVXOaj8PK2l7WJ3RER9xtqwdhxkhw/edit?usp=sharing"",""นครปฐม!J287"")"),0)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IFERROR(__xludf.DUMMYFUNCTION("IMPORTRANGE(""https://docs.google.com/spreadsheets/d/1SX6NBoVAgQJ6U1MVXOaj8PK2l7WJ3RER9xtqwdhxkhw/edit?usp=sharing"",""นครปฐม!J288"")"),0)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IFERROR(__xludf.DUMMYFUNCTION("IMPORTRANGE(""https://docs.google.com/spreadsheets/d/1SX6NBoVAgQJ6U1MVXOaj8PK2l7WJ3RER9xtqwdhxkhw/edit?usp=sharing"",""นครปฐม!J289"")"),0)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IFERROR(__xludf.DUMMYFUNCTION("IMPORTRANGE(""https://docs.google.com/spreadsheets/d/1SX6NBoVAgQJ6U1MVXOaj8PK2l7WJ3RER9xtqwdhxkhw/edit?usp=sharing"",""นครปฐม!I291"")"),0)</f>
        <v>0</v>
      </c>
      <c r="J396" s="198">
        <f ca="1">IFERROR(__xludf.DUMMYFUNCTION("IMPORTRANGE(""https://docs.google.com/spreadsheets/d/1SX6NBoVAgQJ6U1MVXOaj8PK2l7WJ3RER9xtqwdhxkhw/edit?usp=sharing"",""นครปฐม!J291"")"),0)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IFERROR(__xludf.DUMMYFUNCTION("IMPORTRANGE(""https://docs.google.com/spreadsheets/d/1SX6NBoVAgQJ6U1MVXOaj8PK2l7WJ3RER9xtqwdhxkhw/edit?usp=sharing"",""นครปฐม!I292"")"),0)</f>
        <v>0</v>
      </c>
      <c r="J397" s="198">
        <f ca="1">IFERROR(__xludf.DUMMYFUNCTION("IMPORTRANGE(""https://docs.google.com/spreadsheets/d/1SX6NBoVAgQJ6U1MVXOaj8PK2l7WJ3RER9xtqwdhxkhw/edit?usp=sharing"",""นครปฐม!J292"")"),0)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IFERROR(__xludf.DUMMYFUNCTION("IMPORTRANGE(""https://docs.google.com/spreadsheets/d/1SX6NBoVAgQJ6U1MVXOaj8PK2l7WJ3RER9xtqwdhxkhw/edit?usp=sharing"",""นครปฐม!I293"")"),0)</f>
        <v>0</v>
      </c>
      <c r="J398" s="198">
        <f ca="1">IFERROR(__xludf.DUMMYFUNCTION("IMPORTRANGE(""https://docs.google.com/spreadsheets/d/1SX6NBoVAgQJ6U1MVXOaj8PK2l7WJ3RER9xtqwdhxkhw/edit?usp=sharing"",""นครปฐม!J293"")"),0)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IFERROR(__xludf.DUMMYFUNCTION("IMPORTRANGE(""https://docs.google.com/spreadsheets/d/1SX6NBoVAgQJ6U1MVXOaj8PK2l7WJ3RER9xtqwdhxkhw/edit?usp=sharing"",""นครปฐม!J294"")"),0)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IFERROR(__xludf.DUMMYFUNCTION("IMPORTRANGE(""https://docs.google.com/spreadsheets/d/1SX6NBoVAgQJ6U1MVXOaj8PK2l7WJ3RER9xtqwdhxkhw/edit?usp=sharing"",""นครปฐม!J295"")"),0)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IFERROR(__xludf.DUMMYFUNCTION("IMPORTRANGE(""https://docs.google.com/spreadsheets/d/1SX6NBoVAgQJ6U1MVXOaj8PK2l7WJ3RER9xtqwdhxkhw/edit?usp=sharing"",""นครปฐม!I296"")"),150)</f>
        <v>150</v>
      </c>
      <c r="J401" s="371">
        <f ca="1">IFERROR(__xludf.DUMMYFUNCTION("IMPORTRANGE(""https://docs.google.com/spreadsheets/d/1SX6NBoVAgQJ6U1MVXOaj8PK2l7WJ3RER9xtqwdhxkhw/edit?usp=sharing"",""นครปฐม!J296"")"),0)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IFERROR(__xludf.DUMMYFUNCTION("IMPORTRANGE(""https://docs.google.com/spreadsheets/d/1SX6NBoVAgQJ6U1MVXOaj8PK2l7WJ3RER9xtqwdhxkhw/edit?usp=sharing"",""นครปฐม!L296"")"),130250)</f>
        <v>130250</v>
      </c>
      <c r="M401" s="373"/>
      <c r="N401" s="373">
        <f ca="1">IFERROR(__xludf.DUMMYFUNCTION("IMPORTRANGE(""https://docs.google.com/spreadsheets/d/1SX6NBoVAgQJ6U1MVXOaj8PK2l7WJ3RER9xtqwdhxkhw/edit?usp=sharing"",""นครปฐม!M296"")"),89333)</f>
        <v>89333</v>
      </c>
      <c r="O401" s="373">
        <f ca="1">+IF(L401&gt;0,N401*100/L401,0)</f>
        <v>68.585796545105566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IFERROR(__xludf.DUMMYFUNCTION("IMPORTRANGE(""https://docs.google.com/spreadsheets/d/1SX6NBoVAgQJ6U1MVXOaj8PK2l7WJ3RER9xtqwdhxkhw/edit?usp=sharing"",""นครปฐม!I297"")"),50)</f>
        <v>50</v>
      </c>
      <c r="J402" s="371">
        <f ca="1">IFERROR(__xludf.DUMMYFUNCTION("IMPORTRANGE(""https://docs.google.com/spreadsheets/d/1SX6NBoVAgQJ6U1MVXOaj8PK2l7WJ3RER9xtqwdhxkhw/edit?usp=sharing"",""นครปฐม!J297"")"),50)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IFERROR(__xludf.DUMMYFUNCTION("IMPORTRANGE(""https://docs.google.com/spreadsheets/d/1SX6NBoVAgQJ6U1MVXOaj8PK2l7WJ3RER9xtqwdhxkhw/edit?usp=sharing"",""นครปฐม!L298"")"),0)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IFERROR(__xludf.DUMMYFUNCTION("IMPORTRANGE(""https://docs.google.com/spreadsheets/d/1SX6NBoVAgQJ6U1MVXOaj8PK2l7WJ3RER9xtqwdhxkhw/edit?usp=sharing"",""นครปฐม!M298"")"),0)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IFERROR(__xludf.DUMMYFUNCTION("IMPORTRANGE(""https://docs.google.com/spreadsheets/d/1SX6NBoVAgQJ6U1MVXOaj8PK2l7WJ3RER9xtqwdhxkhw/edit?usp=sharing"",""นครปฐม!L299"")"),130250)</f>
        <v>130250</v>
      </c>
      <c r="M404" s="165"/>
      <c r="N404" s="169">
        <f ca="1">IFERROR(__xludf.DUMMYFUNCTION("IMPORTRANGE(""https://docs.google.com/spreadsheets/d/1SX6NBoVAgQJ6U1MVXOaj8PK2l7WJ3RER9xtqwdhxkhw/edit?usp=sharing"",""นครปฐม!M299"")"),89333)</f>
        <v>89333</v>
      </c>
      <c r="O404" s="169">
        <f t="shared" ca="1" si="112"/>
        <v>68.585796545105566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IFERROR(__xludf.DUMMYFUNCTION("IMPORTRANGE(""https://docs.google.com/spreadsheets/d/1SX6NBoVAgQJ6U1MVXOaj8PK2l7WJ3RER9xtqwdhxkhw/edit?usp=sharing"",""นครปฐม!L300"")"),0)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IFERROR(__xludf.DUMMYFUNCTION("IMPORTRANGE(""https://docs.google.com/spreadsheets/d/1SX6NBoVAgQJ6U1MVXOaj8PK2l7WJ3RER9xtqwdhxkhw/edit?usp=sharing"",""นครปฐม!M300"")"),0)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IFERROR(__xludf.DUMMYFUNCTION("IMPORTRANGE(""https://docs.google.com/spreadsheets/d/1SX6NBoVAgQJ6U1MVXOaj8PK2l7WJ3RER9xtqwdhxkhw/edit?usp=sharing"",""นครปฐม!L301"")"),130250)</f>
        <v>130250</v>
      </c>
      <c r="M406" s="169"/>
      <c r="N406" s="169">
        <f ca="1">IFERROR(__xludf.DUMMYFUNCTION("IMPORTRANGE(""https://docs.google.com/spreadsheets/d/1SX6NBoVAgQJ6U1MVXOaj8PK2l7WJ3RER9xtqwdhxkhw/edit?usp=sharing"",""นครปฐม!M301"")"),89333)</f>
        <v>89333</v>
      </c>
      <c r="O406" s="169">
        <f t="shared" ca="1" si="112"/>
        <v>68.585796545105566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IFERROR(__xludf.DUMMYFUNCTION("IMPORTRANGE(""https://docs.google.com/spreadsheets/d/1SX6NBoVAgQJ6U1MVXOaj8PK2l7WJ3RER9xtqwdhxkhw/edit?usp=sharing"",""นครปฐม!M302"")"),74550)</f>
        <v>74550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IFERROR(__xludf.DUMMYFUNCTION("IMPORTRANGE(""https://docs.google.com/spreadsheets/d/1SX6NBoVAgQJ6U1MVXOaj8PK2l7WJ3RER9xtqwdhxkhw/edit?usp=sharing"",""นครปฐม!M303"")"),0)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IFERROR(__xludf.DUMMYFUNCTION("IMPORTRANGE(""https://docs.google.com/spreadsheets/d/1SX6NBoVAgQJ6U1MVXOaj8PK2l7WJ3RER9xtqwdhxkhw/edit?usp=sharing"",""นครปฐม!M304"")"),0)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IFERROR(__xludf.DUMMYFUNCTION("IMPORTRANGE(""https://docs.google.com/spreadsheets/d/1SX6NBoVAgQJ6U1MVXOaj8PK2l7WJ3RER9xtqwdhxkhw/edit?usp=sharing"",""นครปฐม!M305"")"),14783)</f>
        <v>14783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IFERROR(__xludf.DUMMYFUNCTION("IMPORTRANGE(""https://docs.google.com/spreadsheets/d/1SX6NBoVAgQJ6U1MVXOaj8PK2l7WJ3RER9xtqwdhxkhw/edit?usp=sharing"",""นครปฐม!J307"")"),0)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IFERROR(__xludf.DUMMYFUNCTION("IMPORTRANGE(""https://docs.google.com/spreadsheets/d/1SX6NBoVAgQJ6U1MVXOaj8PK2l7WJ3RER9xtqwdhxkhw/edit?usp=sharing"",""นครปฐม!J308"")"),1)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IFERROR(__xludf.DUMMYFUNCTION("IMPORTRANGE(""https://docs.google.com/spreadsheets/d/1SX6NBoVAgQJ6U1MVXOaj8PK2l7WJ3RER9xtqwdhxkhw/edit?usp=sharing"",""นครปฐม!J309"")"),1)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IFERROR(__xludf.DUMMYFUNCTION("IMPORTRANGE(""https://docs.google.com/spreadsheets/d/1SX6NBoVAgQJ6U1MVXOaj8PK2l7WJ3RER9xtqwdhxkhw/edit?usp=sharing"",""นครปฐม!J310"")"),1)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IFERROR(__xludf.DUMMYFUNCTION("IMPORTRANGE(""https://docs.google.com/spreadsheets/d/1SX6NBoVAgQJ6U1MVXOaj8PK2l7WJ3RER9xtqwdhxkhw/edit?usp=sharing"",""นครปฐม!I311"")"),50)</f>
        <v>50</v>
      </c>
      <c r="J416" s="201">
        <f ca="1">IFERROR(__xludf.DUMMYFUNCTION("IMPORTRANGE(""https://docs.google.com/spreadsheets/d/1SX6NBoVAgQJ6U1MVXOaj8PK2l7WJ3RER9xtqwdhxkhw/edit?usp=sharing"",""นครปฐม!J311"")"),50)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IFERROR(__xludf.DUMMYFUNCTION("IMPORTRANGE(""https://docs.google.com/spreadsheets/d/1SX6NBoVAgQJ6U1MVXOaj8PK2l7WJ3RER9xtqwdhxkhw/edit?usp=sharing"",""นครปฐม!I312"")"),0)</f>
        <v>0</v>
      </c>
      <c r="J417" s="392">
        <f ca="1">IFERROR(__xludf.DUMMYFUNCTION("IMPORTRANGE(""https://docs.google.com/spreadsheets/d/1SX6NBoVAgQJ6U1MVXOaj8PK2l7WJ3RER9xtqwdhxkhw/edit?usp=sharing"",""นครปฐม!J312"")"),0)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IFERROR(__xludf.DUMMYFUNCTION("IMPORTRANGE(""https://docs.google.com/spreadsheets/d/1SX6NBoVAgQJ6U1MVXOaj8PK2l7WJ3RER9xtqwdhxkhw/edit?usp=sharing"",""นครปฐม!I313"")"),0)</f>
        <v>0</v>
      </c>
      <c r="J418" s="393">
        <f ca="1">IFERROR(__xludf.DUMMYFUNCTION("IMPORTRANGE(""https://docs.google.com/spreadsheets/d/1SX6NBoVAgQJ6U1MVXOaj8PK2l7WJ3RER9xtqwdhxkhw/edit?usp=sharing"",""นครปฐม!J313"")"),0)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IFERROR(__xludf.DUMMYFUNCTION("IMPORTRANGE(""https://docs.google.com/spreadsheets/d/1SX6NBoVAgQJ6U1MVXOaj8PK2l7WJ3RER9xtqwdhxkhw/edit?usp=sharing"",""นครปฐม!I314"")"),0)</f>
        <v>0</v>
      </c>
      <c r="J419" s="394">
        <f ca="1">IFERROR(__xludf.DUMMYFUNCTION("IMPORTRANGE(""https://docs.google.com/spreadsheets/d/1SX6NBoVAgQJ6U1MVXOaj8PK2l7WJ3RER9xtqwdhxkhw/edit?usp=sharing"",""นครปฐม!J314"")"),0)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IFERROR(__xludf.DUMMYFUNCTION("IMPORTRANGE(""https://docs.google.com/spreadsheets/d/1SX6NBoVAgQJ6U1MVXOaj8PK2l7WJ3RER9xtqwdhxkhw/edit?usp=sharing"",""นครปฐม!I315"")"),0)</f>
        <v>0</v>
      </c>
      <c r="J420" s="394">
        <f ca="1">IFERROR(__xludf.DUMMYFUNCTION("IMPORTRANGE(""https://docs.google.com/spreadsheets/d/1SX6NBoVAgQJ6U1MVXOaj8PK2l7WJ3RER9xtqwdhxkhw/edit?usp=sharing"",""นครปฐม!J315"")"),0)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IFERROR(__xludf.DUMMYFUNCTION("IMPORTRANGE(""https://docs.google.com/spreadsheets/d/1SX6NBoVAgQJ6U1MVXOaj8PK2l7WJ3RER9xtqwdhxkhw/edit?usp=sharing"",""นครปฐม!I316"")"),40)</f>
        <v>40</v>
      </c>
      <c r="J421" s="392">
        <f ca="1">IFERROR(__xludf.DUMMYFUNCTION("IMPORTRANGE(""https://docs.google.com/spreadsheets/d/1SX6NBoVAgQJ6U1MVXOaj8PK2l7WJ3RER9xtqwdhxkhw/edit?usp=sharing"",""นครปฐม!J316"")"),40)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IFERROR(__xludf.DUMMYFUNCTION("IMPORTRANGE(""https://docs.google.com/spreadsheets/d/1SX6NBoVAgQJ6U1MVXOaj8PK2l7WJ3RER9xtqwdhxkhw/edit?usp=sharing"",""นครปฐม!I317"")"),120)</f>
        <v>120</v>
      </c>
      <c r="J422" s="393">
        <f ca="1">IFERROR(__xludf.DUMMYFUNCTION("IMPORTRANGE(""https://docs.google.com/spreadsheets/d/1SX6NBoVAgQJ6U1MVXOaj8PK2l7WJ3RER9xtqwdhxkhw/edit?usp=sharing"",""นครปฐม!J317"")"),0)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IFERROR(__xludf.DUMMYFUNCTION("IMPORTRANGE(""https://docs.google.com/spreadsheets/d/1SX6NBoVAgQJ6U1MVXOaj8PK2l7WJ3RER9xtqwdhxkhw/edit?usp=sharing"",""นครปฐม!I318"")"),40)</f>
        <v>40</v>
      </c>
      <c r="J423" s="394">
        <f ca="1">IFERROR(__xludf.DUMMYFUNCTION("IMPORTRANGE(""https://docs.google.com/spreadsheets/d/1SX6NBoVAgQJ6U1MVXOaj8PK2l7WJ3RER9xtqwdhxkhw/edit?usp=sharing"",""นครปฐม!J318"")"),40)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IFERROR(__xludf.DUMMYFUNCTION("IMPORTRANGE(""https://docs.google.com/spreadsheets/d/1SX6NBoVAgQJ6U1MVXOaj8PK2l7WJ3RER9xtqwdhxkhw/edit?usp=sharing"",""นครปฐม!I319"")"),40)</f>
        <v>40</v>
      </c>
      <c r="J424" s="394">
        <f ca="1">IFERROR(__xludf.DUMMYFUNCTION("IMPORTRANGE(""https://docs.google.com/spreadsheets/d/1SX6NBoVAgQJ6U1MVXOaj8PK2l7WJ3RER9xtqwdhxkhw/edit?usp=sharing"",""นครปฐม!J319"")"),40)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IFERROR(__xludf.DUMMYFUNCTION("IMPORTRANGE(""https://docs.google.com/spreadsheets/d/1SX6NBoVAgQJ6U1MVXOaj8PK2l7WJ3RER9xtqwdhxkhw/edit?usp=sharing"",""นครปฐม!I320"")"),40)</f>
        <v>40</v>
      </c>
      <c r="J425" s="394">
        <f ca="1">IFERROR(__xludf.DUMMYFUNCTION("IMPORTRANGE(""https://docs.google.com/spreadsheets/d/1SX6NBoVAgQJ6U1MVXOaj8PK2l7WJ3RER9xtqwdhxkhw/edit?usp=sharing"",""นครปฐม!J320"")"),40)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IFERROR(__xludf.DUMMYFUNCTION("IMPORTRANGE(""https://docs.google.com/spreadsheets/d/1SX6NBoVAgQJ6U1MVXOaj8PK2l7WJ3RER9xtqwdhxkhw/edit?usp=sharing"",""นครปฐม!I321"")"),10)</f>
        <v>10</v>
      </c>
      <c r="J426" s="392">
        <f ca="1">IFERROR(__xludf.DUMMYFUNCTION("IMPORTRANGE(""https://docs.google.com/spreadsheets/d/1SX6NBoVAgQJ6U1MVXOaj8PK2l7WJ3RER9xtqwdhxkhw/edit?usp=sharing"",""นครปฐม!J321"")"),10)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IFERROR(__xludf.DUMMYFUNCTION("IMPORTRANGE(""https://docs.google.com/spreadsheets/d/1SX6NBoVAgQJ6U1MVXOaj8PK2l7WJ3RER9xtqwdhxkhw/edit?usp=sharing"",""นครปฐม!I322"")"),30)</f>
        <v>30</v>
      </c>
      <c r="J427" s="393">
        <f ca="1">IFERROR(__xludf.DUMMYFUNCTION("IMPORTRANGE(""https://docs.google.com/spreadsheets/d/1SX6NBoVAgQJ6U1MVXOaj8PK2l7WJ3RER9xtqwdhxkhw/edit?usp=sharing"",""นครปฐม!J322"")"),0)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IFERROR(__xludf.DUMMYFUNCTION("IMPORTRANGE(""https://docs.google.com/spreadsheets/d/1SX6NBoVAgQJ6U1MVXOaj8PK2l7WJ3RER9xtqwdhxkhw/edit?usp=sharing"",""นครปฐม!I323"")"),10)</f>
        <v>10</v>
      </c>
      <c r="J428" s="394">
        <f ca="1">IFERROR(__xludf.DUMMYFUNCTION("IMPORTRANGE(""https://docs.google.com/spreadsheets/d/1SX6NBoVAgQJ6U1MVXOaj8PK2l7WJ3RER9xtqwdhxkhw/edit?usp=sharing"",""นครปฐม!J323"")"),10)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IFERROR(__xludf.DUMMYFUNCTION("IMPORTRANGE(""https://docs.google.com/spreadsheets/d/1SX6NBoVAgQJ6U1MVXOaj8PK2l7WJ3RER9xtqwdhxkhw/edit?usp=sharing"",""นครปฐม!I324"")"),10)</f>
        <v>10</v>
      </c>
      <c r="J429" s="394">
        <f ca="1">IFERROR(__xludf.DUMMYFUNCTION("IMPORTRANGE(""https://docs.google.com/spreadsheets/d/1SX6NBoVAgQJ6U1MVXOaj8PK2l7WJ3RER9xtqwdhxkhw/edit?usp=sharing"",""นครปฐม!J324"")"),10)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IFERROR(__xludf.DUMMYFUNCTION("IMPORTRANGE(""https://docs.google.com/spreadsheets/d/1SX6NBoVAgQJ6U1MVXOaj8PK2l7WJ3RER9xtqwdhxkhw/edit?usp=sharing"",""นครปฐม!I325"")"),40)</f>
        <v>40</v>
      </c>
      <c r="J430" s="392">
        <f ca="1">IFERROR(__xludf.DUMMYFUNCTION("IMPORTRANGE(""https://docs.google.com/spreadsheets/d/1SX6NBoVAgQJ6U1MVXOaj8PK2l7WJ3RER9xtqwdhxkhw/edit?usp=sharing"",""นครปฐม!J325"")"),0)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IFERROR(__xludf.DUMMYFUNCTION("IMPORTRANGE(""https://docs.google.com/spreadsheets/d/1SX6NBoVAgQJ6U1MVXOaj8PK2l7WJ3RER9xtqwdhxkhw/edit?usp=sharing"",""นครปฐม!I326"")"),0)</f>
        <v>0</v>
      </c>
      <c r="J431" s="394">
        <f ca="1">IFERROR(__xludf.DUMMYFUNCTION("IMPORTRANGE(""https://docs.google.com/spreadsheets/d/1SX6NBoVAgQJ6U1MVXOaj8PK2l7WJ3RER9xtqwdhxkhw/edit?usp=sharing"",""นครปฐม!J326"")"),0)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IFERROR(__xludf.DUMMYFUNCTION("IMPORTRANGE(""https://docs.google.com/spreadsheets/d/1SX6NBoVAgQJ6U1MVXOaj8PK2l7WJ3RER9xtqwdhxkhw/edit?usp=sharing"",""นครปฐม!I327"")"),40)</f>
        <v>40</v>
      </c>
      <c r="J432" s="394">
        <f ca="1">IFERROR(__xludf.DUMMYFUNCTION("IMPORTRANGE(""https://docs.google.com/spreadsheets/d/1SX6NBoVAgQJ6U1MVXOaj8PK2l7WJ3RER9xtqwdhxkhw/edit?usp=sharing"",""นครปฐม!J327"")"),0)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IFERROR(__xludf.DUMMYFUNCTION("IMPORTRANGE(""https://docs.google.com/spreadsheets/d/1SX6NBoVAgQJ6U1MVXOaj8PK2l7WJ3RER9xtqwdhxkhw/edit?usp=sharing"",""นครปฐม!J328"")"),0)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IFERROR(__xludf.DUMMYFUNCTION("IMPORTRANGE(""https://docs.google.com/spreadsheets/d/1SX6NBoVAgQJ6U1MVXOaj8PK2l7WJ3RER9xtqwdhxkhw/edit?usp=sharing"",""นครปฐม!J329"")"),0)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IFERROR(__xludf.DUMMYFUNCTION("IMPORTRANGE(""https://docs.google.com/spreadsheets/d/1SX6NBoVAgQJ6U1MVXOaj8PK2l7WJ3RER9xtqwdhxkhw/edit?usp=sharing"",""นครปฐม!I330"")"),10)</f>
        <v>10</v>
      </c>
      <c r="J435" s="410">
        <f ca="1">IFERROR(__xludf.DUMMYFUNCTION("IMPORTRANGE(""https://docs.google.com/spreadsheets/d/1SX6NBoVAgQJ6U1MVXOaj8PK2l7WJ3RER9xtqwdhxkhw/edit?usp=sharing"",""นครปฐม!J330"")"),10)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IFERROR(__xludf.DUMMYFUNCTION("IMPORTRANGE(""https://docs.google.com/spreadsheets/d/1SX6NBoVAgQJ6U1MVXOaj8PK2l7WJ3RER9xtqwdhxkhw/edit?usp=sharing"",""นครปฐม!L330"")"),76000)</f>
        <v>76000</v>
      </c>
      <c r="M435" s="412"/>
      <c r="N435" s="412">
        <f ca="1">IFERROR(__xludf.DUMMYFUNCTION("IMPORTRANGE(""https://docs.google.com/spreadsheets/d/1SX6NBoVAgQJ6U1MVXOaj8PK2l7WJ3RER9xtqwdhxkhw/edit?usp=sharing"",""นครปฐม!M330"")"),40381)</f>
        <v>40381</v>
      </c>
      <c r="O435" s="412">
        <f t="shared" ref="O435:O439" ca="1" si="114">+IF(L435&gt;0,N435*100/L435,0)</f>
        <v>53.132894736842104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IFERROR(__xludf.DUMMYFUNCTION("IMPORTRANGE(""https://docs.google.com/spreadsheets/d/1SX6NBoVAgQJ6U1MVXOaj8PK2l7WJ3RER9xtqwdhxkhw/edit?usp=sharing"",""นครปฐม!L331"")"),0)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IFERROR(__xludf.DUMMYFUNCTION("IMPORTRANGE(""https://docs.google.com/spreadsheets/d/1SX6NBoVAgQJ6U1MVXOaj8PK2l7WJ3RER9xtqwdhxkhw/edit?usp=sharing"",""นครปฐม!M331"")"),0)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IFERROR(__xludf.DUMMYFUNCTION("IMPORTRANGE(""https://docs.google.com/spreadsheets/d/1SX6NBoVAgQJ6U1MVXOaj8PK2l7WJ3RER9xtqwdhxkhw/edit?usp=sharing"",""นครปฐม!L332"")"),76000)</f>
        <v>76000</v>
      </c>
      <c r="M437" s="165"/>
      <c r="N437" s="169">
        <f ca="1">IFERROR(__xludf.DUMMYFUNCTION("IMPORTRANGE(""https://docs.google.com/spreadsheets/d/1SX6NBoVAgQJ6U1MVXOaj8PK2l7WJ3RER9xtqwdhxkhw/edit?usp=sharing"",""นครปฐม!M332"")"),40381)</f>
        <v>40381</v>
      </c>
      <c r="O437" s="169">
        <f t="shared" ca="1" si="114"/>
        <v>53.132894736842104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IFERROR(__xludf.DUMMYFUNCTION("IMPORTRANGE(""https://docs.google.com/spreadsheets/d/1SX6NBoVAgQJ6U1MVXOaj8PK2l7WJ3RER9xtqwdhxkhw/edit?usp=sharing"",""นครปฐม!L333"")"),0)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IFERROR(__xludf.DUMMYFUNCTION("IMPORTRANGE(""https://docs.google.com/spreadsheets/d/1SX6NBoVAgQJ6U1MVXOaj8PK2l7WJ3RER9xtqwdhxkhw/edit?usp=sharing"",""นครปฐม!M333"")"),0)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IFERROR(__xludf.DUMMYFUNCTION("IMPORTRANGE(""https://docs.google.com/spreadsheets/d/1SX6NBoVAgQJ6U1MVXOaj8PK2l7WJ3RER9xtqwdhxkhw/edit?usp=sharing"",""นครปฐม!L334"")"),76000)</f>
        <v>76000</v>
      </c>
      <c r="M439" s="169"/>
      <c r="N439" s="169">
        <f ca="1">IFERROR(__xludf.DUMMYFUNCTION("IMPORTRANGE(""https://docs.google.com/spreadsheets/d/1SX6NBoVAgQJ6U1MVXOaj8PK2l7WJ3RER9xtqwdhxkhw/edit?usp=sharing"",""นครปฐม!M334"")"),40381)</f>
        <v>40381</v>
      </c>
      <c r="O439" s="169">
        <f t="shared" ca="1" si="114"/>
        <v>53.132894736842104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IFERROR(__xludf.DUMMYFUNCTION("IMPORTRANGE(""https://docs.google.com/spreadsheets/d/1SX6NBoVAgQJ6U1MVXOaj8PK2l7WJ3RER9xtqwdhxkhw/edit?usp=sharing"",""นครปฐม!M335"")"),15580)</f>
        <v>15580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IFERROR(__xludf.DUMMYFUNCTION("IMPORTRANGE(""https://docs.google.com/spreadsheets/d/1SX6NBoVAgQJ6U1MVXOaj8PK2l7WJ3RER9xtqwdhxkhw/edit?usp=sharing"",""นครปฐม!M336"")"),0)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IFERROR(__xludf.DUMMYFUNCTION("IMPORTRANGE(""https://docs.google.com/spreadsheets/d/1SX6NBoVAgQJ6U1MVXOaj8PK2l7WJ3RER9xtqwdhxkhw/edit?usp=sharing"",""นครปฐม!M337"")"),0)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IFERROR(__xludf.DUMMYFUNCTION("IMPORTRANGE(""https://docs.google.com/spreadsheets/d/1SX6NBoVAgQJ6U1MVXOaj8PK2l7WJ3RER9xtqwdhxkhw/edit?usp=sharing"",""นครปฐม!M338"")"),24801)</f>
        <v>24801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IFERROR(__xludf.DUMMYFUNCTION("IMPORTRANGE(""https://docs.google.com/spreadsheets/d/1SX6NBoVAgQJ6U1MVXOaj8PK2l7WJ3RER9xtqwdhxkhw/edit?usp=sharing"",""นครปฐม!J340"")"),0)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IFERROR(__xludf.DUMMYFUNCTION("IMPORTRANGE(""https://docs.google.com/spreadsheets/d/1SX6NBoVAgQJ6U1MVXOaj8PK2l7WJ3RER9xtqwdhxkhw/edit?usp=sharing"",""นครปฐม!J341"")"),1)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IFERROR(__xludf.DUMMYFUNCTION("IMPORTRANGE(""https://docs.google.com/spreadsheets/d/1SX6NBoVAgQJ6U1MVXOaj8PK2l7WJ3RER9xtqwdhxkhw/edit?usp=sharing"",""นครปฐม!J342"")"),1)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IFERROR(__xludf.DUMMYFUNCTION("IMPORTRANGE(""https://docs.google.com/spreadsheets/d/1SX6NBoVAgQJ6U1MVXOaj8PK2l7WJ3RER9xtqwdhxkhw/edit?usp=sharing"",""นครปฐม!J343"")"),1)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IFERROR(__xludf.DUMMYFUNCTION("IMPORTRANGE(""https://docs.google.com/spreadsheets/d/1SX6NBoVAgQJ6U1MVXOaj8PK2l7WJ3RER9xtqwdhxkhw/edit?usp=sharing"",""นครปฐม!I344"")"),10)</f>
        <v>10</v>
      </c>
      <c r="J449" s="201">
        <f ca="1">IFERROR(__xludf.DUMMYFUNCTION("IMPORTRANGE(""https://docs.google.com/spreadsheets/d/1SX6NBoVAgQJ6U1MVXOaj8PK2l7WJ3RER9xtqwdhxkhw/edit?usp=sharing"",""นครปฐม!J344"")"),10)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IFERROR(__xludf.DUMMYFUNCTION("IMPORTRANGE(""https://docs.google.com/spreadsheets/d/1SX6NBoVAgQJ6U1MVXOaj8PK2l7WJ3RER9xtqwdhxkhw/edit?usp=sharing"",""นครปฐม!I345"")"),10)</f>
        <v>10</v>
      </c>
      <c r="J450" s="189">
        <f ca="1">IFERROR(__xludf.DUMMYFUNCTION("IMPORTRANGE(""https://docs.google.com/spreadsheets/d/1SX6NBoVAgQJ6U1MVXOaj8PK2l7WJ3RER9xtqwdhxkhw/edit?usp=sharing"",""นครปฐม!J345"")"),10)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IFERROR(__xludf.DUMMYFUNCTION("IMPORTRANGE(""https://docs.google.com/spreadsheets/d/1SX6NBoVAgQJ6U1MVXOaj8PK2l7WJ3RER9xtqwdhxkhw/edit?usp=sharing"",""นครปฐม!I346"")"),0)</f>
        <v>0</v>
      </c>
      <c r="J451" s="188">
        <f ca="1">IFERROR(__xludf.DUMMYFUNCTION("IMPORTRANGE(""https://docs.google.com/spreadsheets/d/1SX6NBoVAgQJ6U1MVXOaj8PK2l7WJ3RER9xtqwdhxkhw/edit?usp=sharing"",""นครปฐม!J346"")"),0)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IFERROR(__xludf.DUMMYFUNCTION("IMPORTRANGE(""https://docs.google.com/spreadsheets/d/1SX6NBoVAgQJ6U1MVXOaj8PK2l7WJ3RER9xtqwdhxkhw/edit?usp=sharing"",""นครปฐม!I347"")"),0)</f>
        <v>0</v>
      </c>
      <c r="J452" s="188">
        <f ca="1">IFERROR(__xludf.DUMMYFUNCTION("IMPORTRANGE(""https://docs.google.com/spreadsheets/d/1SX6NBoVAgQJ6U1MVXOaj8PK2l7WJ3RER9xtqwdhxkhw/edit?usp=sharing"",""นครปฐม!J347"")"),0)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IFERROR(__xludf.DUMMYFUNCTION("IMPORTRANGE(""https://docs.google.com/spreadsheets/d/1SX6NBoVAgQJ6U1MVXOaj8PK2l7WJ3RER9xtqwdhxkhw/edit?usp=sharing"",""นครปฐม!J348"")"),0)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IFERROR(__xludf.DUMMYFUNCTION("IMPORTRANGE(""https://docs.google.com/spreadsheets/d/1SX6NBoVAgQJ6U1MVXOaj8PK2l7WJ3RER9xtqwdhxkhw/edit?usp=sharing"",""นครปฐม!J349"")"),0)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IFERROR(__xludf.DUMMYFUNCTION("IMPORTRANGE(""https://docs.google.com/spreadsheets/d/1SX6NBoVAgQJ6U1MVXOaj8PK2l7WJ3RER9xtqwdhxkhw/edit?usp=sharing"",""นครปฐม!I350"")"),0)</f>
        <v>0</v>
      </c>
      <c r="J455" s="371">
        <f ca="1">IFERROR(__xludf.DUMMYFUNCTION("IMPORTRANGE(""https://docs.google.com/spreadsheets/d/1SX6NBoVAgQJ6U1MVXOaj8PK2l7WJ3RER9xtqwdhxkhw/edit?usp=sharing"",""นครปฐม!J350"")"),0)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IFERROR(__xludf.DUMMYFUNCTION("IMPORTRANGE(""https://docs.google.com/spreadsheets/d/1SX6NBoVAgQJ6U1MVXOaj8PK2l7WJ3RER9xtqwdhxkhw/edit?usp=sharing"",""นครปฐม!L350"")"),0)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IFERROR(__xludf.DUMMYFUNCTION("IMPORTRANGE(""https://docs.google.com/spreadsheets/d/1SX6NBoVAgQJ6U1MVXOaj8PK2l7WJ3RER9xtqwdhxkhw/edit?usp=sharing"",""นครปฐม!M350"")"),0)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IFERROR(__xludf.DUMMYFUNCTION("IMPORTRANGE(""https://docs.google.com/spreadsheets/d/1SX6NBoVAgQJ6U1MVXOaj8PK2l7WJ3RER9xtqwdhxkhw/edit?usp=sharing"",""นครปฐม!L351"")"),0)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IFERROR(__xludf.DUMMYFUNCTION("IMPORTRANGE(""https://docs.google.com/spreadsheets/d/1SX6NBoVAgQJ6U1MVXOaj8PK2l7WJ3RER9xtqwdhxkhw/edit?usp=sharing"",""นครปฐม!M351"")"),0)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IFERROR(__xludf.DUMMYFUNCTION("IMPORTRANGE(""https://docs.google.com/spreadsheets/d/1SX6NBoVAgQJ6U1MVXOaj8PK2l7WJ3RER9xtqwdhxkhw/edit?usp=sharing"",""นครปฐม!L352"")"),0)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IFERROR(__xludf.DUMMYFUNCTION("IMPORTRANGE(""https://docs.google.com/spreadsheets/d/1SX6NBoVAgQJ6U1MVXOaj8PK2l7WJ3RER9xtqwdhxkhw/edit?usp=sharing"",""นครปฐม!M352"")"),0)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IFERROR(__xludf.DUMMYFUNCTION("IMPORTRANGE(""https://docs.google.com/spreadsheets/d/1SX6NBoVAgQJ6U1MVXOaj8PK2l7WJ3RER9xtqwdhxkhw/edit?usp=sharing"",""นครปฐม!L353"")"),0)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IFERROR(__xludf.DUMMYFUNCTION("IMPORTRANGE(""https://docs.google.com/spreadsheets/d/1SX6NBoVAgQJ6U1MVXOaj8PK2l7WJ3RER9xtqwdhxkhw/edit?usp=sharing"",""นครปฐม!M353"")"),0)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IFERROR(__xludf.DUMMYFUNCTION("IMPORTRANGE(""https://docs.google.com/spreadsheets/d/1SX6NBoVAgQJ6U1MVXOaj8PK2l7WJ3RER9xtqwdhxkhw/edit?usp=sharing"",""นครปฐม!L354"")"),0)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IFERROR(__xludf.DUMMYFUNCTION("IMPORTRANGE(""https://docs.google.com/spreadsheets/d/1SX6NBoVAgQJ6U1MVXOaj8PK2l7WJ3RER9xtqwdhxkhw/edit?usp=sharing"",""นครปฐม!M354"")"),0)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IFERROR(__xludf.DUMMYFUNCTION("IMPORTRANGE(""https://docs.google.com/spreadsheets/d/1SX6NBoVAgQJ6U1MVXOaj8PK2l7WJ3RER9xtqwdhxkhw/edit?usp=sharing"",""นครปฐม!M355"")"),0)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IFERROR(__xludf.DUMMYFUNCTION("IMPORTRANGE(""https://docs.google.com/spreadsheets/d/1SX6NBoVAgQJ6U1MVXOaj8PK2l7WJ3RER9xtqwdhxkhw/edit?usp=sharing"",""นครปฐม!M356"")"),0)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IFERROR(__xludf.DUMMYFUNCTION("IMPORTRANGE(""https://docs.google.com/spreadsheets/d/1SX6NBoVAgQJ6U1MVXOaj8PK2l7WJ3RER9xtqwdhxkhw/edit?usp=sharing"",""นครปฐม!M357"")"),0)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IFERROR(__xludf.DUMMYFUNCTION("IMPORTRANGE(""https://docs.google.com/spreadsheets/d/1SX6NBoVAgQJ6U1MVXOaj8PK2l7WJ3RER9xtqwdhxkhw/edit?usp=sharing"",""นครปฐม!M358"")"),0)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IFERROR(__xludf.DUMMYFUNCTION("IMPORTRANGE(""https://docs.google.com/spreadsheets/d/1SX6NBoVAgQJ6U1MVXOaj8PK2l7WJ3RER9xtqwdhxkhw/edit?usp=sharing"",""นครปฐม!I359"")"),0)</f>
        <v>0</v>
      </c>
      <c r="J464" s="267">
        <f ca="1">IFERROR(__xludf.DUMMYFUNCTION("IMPORTRANGE(""https://docs.google.com/spreadsheets/d/1SX6NBoVAgQJ6U1MVXOaj8PK2l7WJ3RER9xtqwdhxkhw/edit?usp=sharing"",""นครปฐม!J359"")"),0)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IFERROR(__xludf.DUMMYFUNCTION("IMPORTRANGE(""https://docs.google.com/spreadsheets/d/1SX6NBoVAgQJ6U1MVXOaj8PK2l7WJ3RER9xtqwdhxkhw/edit?usp=sharing"",""นครปฐม!I360"")"),0)</f>
        <v>0</v>
      </c>
      <c r="J465" s="420">
        <f ca="1">IFERROR(__xludf.DUMMYFUNCTION("IMPORTRANGE(""https://docs.google.com/spreadsheets/d/1SX6NBoVAgQJ6U1MVXOaj8PK2l7WJ3RER9xtqwdhxkhw/edit?usp=sharing"",""นครปฐม!J360"")"),0)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IFERROR(__xludf.DUMMYFUNCTION("IMPORTRANGE(""https://docs.google.com/spreadsheets/d/1SX6NBoVAgQJ6U1MVXOaj8PK2l7WJ3RER9xtqwdhxkhw/edit?usp=sharing"",""นครปฐม!I361"")"),0)</f>
        <v>0</v>
      </c>
      <c r="J466" s="420">
        <f ca="1">IFERROR(__xludf.DUMMYFUNCTION("IMPORTRANGE(""https://docs.google.com/spreadsheets/d/1SX6NBoVAgQJ6U1MVXOaj8PK2l7WJ3RER9xtqwdhxkhw/edit?usp=sharing"",""นครปฐม!J361"")"),0)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IFERROR(__xludf.DUMMYFUNCTION("IMPORTRANGE(""https://docs.google.com/spreadsheets/d/1SX6NBoVAgQJ6U1MVXOaj8PK2l7WJ3RER9xtqwdhxkhw/edit?usp=sharing"",""นครปฐม!I362"")"),0)</f>
        <v>0</v>
      </c>
      <c r="J467" s="189">
        <f ca="1">IFERROR(__xludf.DUMMYFUNCTION("IMPORTRANGE(""https://docs.google.com/spreadsheets/d/1SX6NBoVAgQJ6U1MVXOaj8PK2l7WJ3RER9xtqwdhxkhw/edit?usp=sharing"",""นครปฐม!J362"")"),0)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IFERROR(__xludf.DUMMYFUNCTION("IMPORTRANGE(""https://docs.google.com/spreadsheets/d/1SX6NBoVAgQJ6U1MVXOaj8PK2l7WJ3RER9xtqwdhxkhw/edit?usp=sharing"",""นครปฐม!I363"")"),0)</f>
        <v>0</v>
      </c>
      <c r="J468" s="189">
        <f ca="1">IFERROR(__xludf.DUMMYFUNCTION("IMPORTRANGE(""https://docs.google.com/spreadsheets/d/1SX6NBoVAgQJ6U1MVXOaj8PK2l7WJ3RER9xtqwdhxkhw/edit?usp=sharing"",""นครปฐม!J363"")"),0)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IFERROR(__xludf.DUMMYFUNCTION("IMPORTRANGE(""https://docs.google.com/spreadsheets/d/1SX6NBoVAgQJ6U1MVXOaj8PK2l7WJ3RER9xtqwdhxkhw/edit?usp=sharing"",""นครปฐม!I364"")"),0)</f>
        <v>0</v>
      </c>
      <c r="J469" s="189">
        <f ca="1">IFERROR(__xludf.DUMMYFUNCTION("IMPORTRANGE(""https://docs.google.com/spreadsheets/d/1SX6NBoVAgQJ6U1MVXOaj8PK2l7WJ3RER9xtqwdhxkhw/edit?usp=sharing"",""นครปฐม!J364"")"),0)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IFERROR(__xludf.DUMMYFUNCTION("IMPORTRANGE(""https://docs.google.com/spreadsheets/d/1SX6NBoVAgQJ6U1MVXOaj8PK2l7WJ3RER9xtqwdhxkhw/edit?usp=sharing"",""นครปฐม!I365"")"),0)</f>
        <v>0</v>
      </c>
      <c r="J470" s="189">
        <f ca="1">IFERROR(__xludf.DUMMYFUNCTION("IMPORTRANGE(""https://docs.google.com/spreadsheets/d/1SX6NBoVAgQJ6U1MVXOaj8PK2l7WJ3RER9xtqwdhxkhw/edit?usp=sharing"",""นครปฐม!J365"")"),0)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IFERROR(__xludf.DUMMYFUNCTION("IMPORTRANGE(""https://docs.google.com/spreadsheets/d/1SX6NBoVAgQJ6U1MVXOaj8PK2l7WJ3RER9xtqwdhxkhw/edit?usp=sharing"",""นครปฐม!I366"")"),0)</f>
        <v>0</v>
      </c>
      <c r="J471" s="189">
        <f ca="1">IFERROR(__xludf.DUMMYFUNCTION("IMPORTRANGE(""https://docs.google.com/spreadsheets/d/1SX6NBoVAgQJ6U1MVXOaj8PK2l7WJ3RER9xtqwdhxkhw/edit?usp=sharing"",""นครปฐม!J366"")"),0)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IFERROR(__xludf.DUMMYFUNCTION("IMPORTRANGE(""https://docs.google.com/spreadsheets/d/1SX6NBoVAgQJ6U1MVXOaj8PK2l7WJ3RER9xtqwdhxkhw/edit?usp=sharing"",""นครปฐม!I367"")"),0)</f>
        <v>0</v>
      </c>
      <c r="J472" s="189">
        <f ca="1">IFERROR(__xludf.DUMMYFUNCTION("IMPORTRANGE(""https://docs.google.com/spreadsheets/d/1SX6NBoVAgQJ6U1MVXOaj8PK2l7WJ3RER9xtqwdhxkhw/edit?usp=sharing"",""นครปฐม!J367"")"),0)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IFERROR(__xludf.DUMMYFUNCTION("IMPORTRANGE(""https://docs.google.com/spreadsheets/d/1SX6NBoVAgQJ6U1MVXOaj8PK2l7WJ3RER9xtqwdhxkhw/edit?usp=sharing"",""นครปฐม!I368"")"),0)</f>
        <v>0</v>
      </c>
      <c r="J473" s="420">
        <f ca="1">IFERROR(__xludf.DUMMYFUNCTION("IMPORTRANGE(""https://docs.google.com/spreadsheets/d/1SX6NBoVAgQJ6U1MVXOaj8PK2l7WJ3RER9xtqwdhxkhw/edit?usp=sharing"",""นครปฐม!J368"")"),0)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IFERROR(__xludf.DUMMYFUNCTION("IMPORTRANGE(""https://docs.google.com/spreadsheets/d/1SX6NBoVAgQJ6U1MVXOaj8PK2l7WJ3RER9xtqwdhxkhw/edit?usp=sharing"",""นครปฐม!I369"")"),0)</f>
        <v>0</v>
      </c>
      <c r="J474" s="420">
        <f ca="1">IFERROR(__xludf.DUMMYFUNCTION("IMPORTRANGE(""https://docs.google.com/spreadsheets/d/1SX6NBoVAgQJ6U1MVXOaj8PK2l7WJ3RER9xtqwdhxkhw/edit?usp=sharing"",""นครปฐม!J369"")"),0)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IFERROR(__xludf.DUMMYFUNCTION("IMPORTRANGE(""https://docs.google.com/spreadsheets/d/1SX6NBoVAgQJ6U1MVXOaj8PK2l7WJ3RER9xtqwdhxkhw/edit?usp=sharing"",""นครปฐม!I370"")"),0)</f>
        <v>0</v>
      </c>
      <c r="J475" s="189">
        <f ca="1">IFERROR(__xludf.DUMMYFUNCTION("IMPORTRANGE(""https://docs.google.com/spreadsheets/d/1SX6NBoVAgQJ6U1MVXOaj8PK2l7WJ3RER9xtqwdhxkhw/edit?usp=sharing"",""นครปฐม!J370"")"),0)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IFERROR(__xludf.DUMMYFUNCTION("IMPORTRANGE(""https://docs.google.com/spreadsheets/d/1SX6NBoVAgQJ6U1MVXOaj8PK2l7WJ3RER9xtqwdhxkhw/edit?usp=sharing"",""นครปฐม!I371"")"),0)</f>
        <v>0</v>
      </c>
      <c r="J476" s="189">
        <f ca="1">IFERROR(__xludf.DUMMYFUNCTION("IMPORTRANGE(""https://docs.google.com/spreadsheets/d/1SX6NBoVAgQJ6U1MVXOaj8PK2l7WJ3RER9xtqwdhxkhw/edit?usp=sharing"",""นครปฐม!J371"")"),0)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IFERROR(__xludf.DUMMYFUNCTION("IMPORTRANGE(""https://docs.google.com/spreadsheets/d/1SX6NBoVAgQJ6U1MVXOaj8PK2l7WJ3RER9xtqwdhxkhw/edit?usp=sharing"",""นครปฐม!I372"")"),0)</f>
        <v>0</v>
      </c>
      <c r="J477" s="189">
        <f ca="1">IFERROR(__xludf.DUMMYFUNCTION("IMPORTRANGE(""https://docs.google.com/spreadsheets/d/1SX6NBoVAgQJ6U1MVXOaj8PK2l7WJ3RER9xtqwdhxkhw/edit?usp=sharing"",""นครปฐม!J372"")"),0)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IFERROR(__xludf.DUMMYFUNCTION("IMPORTRANGE(""https://docs.google.com/spreadsheets/d/1SX6NBoVAgQJ6U1MVXOaj8PK2l7WJ3RER9xtqwdhxkhw/edit?usp=sharing"",""นครปฐม!I373"")"),0)</f>
        <v>0</v>
      </c>
      <c r="J478" s="189">
        <f ca="1">IFERROR(__xludf.DUMMYFUNCTION("IMPORTRANGE(""https://docs.google.com/spreadsheets/d/1SX6NBoVAgQJ6U1MVXOaj8PK2l7WJ3RER9xtqwdhxkhw/edit?usp=sharing"",""นครปฐม!J373"")"),0)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IFERROR(__xludf.DUMMYFUNCTION("IMPORTRANGE(""https://docs.google.com/spreadsheets/d/1SX6NBoVAgQJ6U1MVXOaj8PK2l7WJ3RER9xtqwdhxkhw/edit?usp=sharing"",""นครปฐม!I374"")"),0)</f>
        <v>0</v>
      </c>
      <c r="J479" s="189">
        <f ca="1">IFERROR(__xludf.DUMMYFUNCTION("IMPORTRANGE(""https://docs.google.com/spreadsheets/d/1SX6NBoVAgQJ6U1MVXOaj8PK2l7WJ3RER9xtqwdhxkhw/edit?usp=sharing"",""นครปฐม!J374"")"),0)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IFERROR(__xludf.DUMMYFUNCTION("IMPORTRANGE(""https://docs.google.com/spreadsheets/d/1SX6NBoVAgQJ6U1MVXOaj8PK2l7WJ3RER9xtqwdhxkhw/edit?usp=sharing"",""นครปฐม!I375"")"),0)</f>
        <v>0</v>
      </c>
      <c r="J480" s="189">
        <f ca="1">IFERROR(__xludf.DUMMYFUNCTION("IMPORTRANGE(""https://docs.google.com/spreadsheets/d/1SX6NBoVAgQJ6U1MVXOaj8PK2l7WJ3RER9xtqwdhxkhw/edit?usp=sharing"",""นครปฐม!J375"")"),0)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IFERROR(__xludf.DUMMYFUNCTION("IMPORTRANGE(""https://docs.google.com/spreadsheets/d/1SX6NBoVAgQJ6U1MVXOaj8PK2l7WJ3RER9xtqwdhxkhw/edit?usp=sharing"",""นครปฐม!I376"")"),0)</f>
        <v>0</v>
      </c>
      <c r="J481" s="420">
        <f ca="1">IFERROR(__xludf.DUMMYFUNCTION("IMPORTRANGE(""https://docs.google.com/spreadsheets/d/1SX6NBoVAgQJ6U1MVXOaj8PK2l7WJ3RER9xtqwdhxkhw/edit?usp=sharing"",""นครปฐม!J376"")"),0)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IFERROR(__xludf.DUMMYFUNCTION("IMPORTRANGE(""https://docs.google.com/spreadsheets/d/1SX6NBoVAgQJ6U1MVXOaj8PK2l7WJ3RER9xtqwdhxkhw/edit?usp=sharing"",""นครปฐม!I377"")"),0)</f>
        <v>0</v>
      </c>
      <c r="J482" s="420">
        <f ca="1">IFERROR(__xludf.DUMMYFUNCTION("IMPORTRANGE(""https://docs.google.com/spreadsheets/d/1SX6NBoVAgQJ6U1MVXOaj8PK2l7WJ3RER9xtqwdhxkhw/edit?usp=sharing"",""นครปฐม!J377"")"),0)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IFERROR(__xludf.DUMMYFUNCTION("IMPORTRANGE(""https://docs.google.com/spreadsheets/d/1SX6NBoVAgQJ6U1MVXOaj8PK2l7WJ3RER9xtqwdhxkhw/edit?usp=sharing"",""นครปฐม!I378"")"),0)</f>
        <v>0</v>
      </c>
      <c r="J483" s="189">
        <f ca="1">IFERROR(__xludf.DUMMYFUNCTION("IMPORTRANGE(""https://docs.google.com/spreadsheets/d/1SX6NBoVAgQJ6U1MVXOaj8PK2l7WJ3RER9xtqwdhxkhw/edit?usp=sharing"",""นครปฐม!J378"")"),0)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IFERROR(__xludf.DUMMYFUNCTION("IMPORTRANGE(""https://docs.google.com/spreadsheets/d/1SX6NBoVAgQJ6U1MVXOaj8PK2l7WJ3RER9xtqwdhxkhw/edit?usp=sharing"",""นครปฐม!I379"")"),0)</f>
        <v>0</v>
      </c>
      <c r="J484" s="189">
        <f ca="1">IFERROR(__xludf.DUMMYFUNCTION("IMPORTRANGE(""https://docs.google.com/spreadsheets/d/1SX6NBoVAgQJ6U1MVXOaj8PK2l7WJ3RER9xtqwdhxkhw/edit?usp=sharing"",""นครปฐม!J379"")"),0)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IFERROR(__xludf.DUMMYFUNCTION("IMPORTRANGE(""https://docs.google.com/spreadsheets/d/1SX6NBoVAgQJ6U1MVXOaj8PK2l7WJ3RER9xtqwdhxkhw/edit?usp=sharing"",""นครปฐม!I380"")"),0)</f>
        <v>0</v>
      </c>
      <c r="J485" s="189">
        <f ca="1">IFERROR(__xludf.DUMMYFUNCTION("IMPORTRANGE(""https://docs.google.com/spreadsheets/d/1SX6NBoVAgQJ6U1MVXOaj8PK2l7WJ3RER9xtqwdhxkhw/edit?usp=sharing"",""นครปฐม!J380"")"),0)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IFERROR(__xludf.DUMMYFUNCTION("IMPORTRANGE(""https://docs.google.com/spreadsheets/d/1SX6NBoVAgQJ6U1MVXOaj8PK2l7WJ3RER9xtqwdhxkhw/edit?usp=sharing"",""นครปฐม!I381"")"),0)</f>
        <v>0</v>
      </c>
      <c r="J486" s="189">
        <f ca="1">IFERROR(__xludf.DUMMYFUNCTION("IMPORTRANGE(""https://docs.google.com/spreadsheets/d/1SX6NBoVAgQJ6U1MVXOaj8PK2l7WJ3RER9xtqwdhxkhw/edit?usp=sharing"",""นครปฐม!J381"")"),0)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IFERROR(__xludf.DUMMYFUNCTION("IMPORTRANGE(""https://docs.google.com/spreadsheets/d/1SX6NBoVAgQJ6U1MVXOaj8PK2l7WJ3RER9xtqwdhxkhw/edit?usp=sharing"",""นครปฐม!I382"")"),0)</f>
        <v>0</v>
      </c>
      <c r="J487" s="420">
        <f ca="1">IFERROR(__xludf.DUMMYFUNCTION("IMPORTRANGE(""https://docs.google.com/spreadsheets/d/1SX6NBoVAgQJ6U1MVXOaj8PK2l7WJ3RER9xtqwdhxkhw/edit?usp=sharing"",""นครปฐม!J382"")"),0)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IFERROR(__xludf.DUMMYFUNCTION("IMPORTRANGE(""https://docs.google.com/spreadsheets/d/1SX6NBoVAgQJ6U1MVXOaj8PK2l7WJ3RER9xtqwdhxkhw/edit?usp=sharing"",""นครปฐม!I383"")"),0)</f>
        <v>0</v>
      </c>
      <c r="J488" s="420">
        <f ca="1">IFERROR(__xludf.DUMMYFUNCTION("IMPORTRANGE(""https://docs.google.com/spreadsheets/d/1SX6NBoVAgQJ6U1MVXOaj8PK2l7WJ3RER9xtqwdhxkhw/edit?usp=sharing"",""นครปฐม!J383"")"),0)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IFERROR(__xludf.DUMMYFUNCTION("IMPORTRANGE(""https://docs.google.com/spreadsheets/d/1SX6NBoVAgQJ6U1MVXOaj8PK2l7WJ3RER9xtqwdhxkhw/edit?usp=sharing"",""นครปฐม!I384"")"),0)</f>
        <v>0</v>
      </c>
      <c r="J489" s="189">
        <f ca="1">IFERROR(__xludf.DUMMYFUNCTION("IMPORTRANGE(""https://docs.google.com/spreadsheets/d/1SX6NBoVAgQJ6U1MVXOaj8PK2l7WJ3RER9xtqwdhxkhw/edit?usp=sharing"",""นครปฐม!J384"")"),0)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IFERROR(__xludf.DUMMYFUNCTION("IMPORTRANGE(""https://docs.google.com/spreadsheets/d/1SX6NBoVAgQJ6U1MVXOaj8PK2l7WJ3RER9xtqwdhxkhw/edit?usp=sharing"",""นครปฐม!I385"")"),0)</f>
        <v>0</v>
      </c>
      <c r="J490" s="189">
        <f ca="1">IFERROR(__xludf.DUMMYFUNCTION("IMPORTRANGE(""https://docs.google.com/spreadsheets/d/1SX6NBoVAgQJ6U1MVXOaj8PK2l7WJ3RER9xtqwdhxkhw/edit?usp=sharing"",""นครปฐม!J385"")"),0)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IFERROR(__xludf.DUMMYFUNCTION("IMPORTRANGE(""https://docs.google.com/spreadsheets/d/1SX6NBoVAgQJ6U1MVXOaj8PK2l7WJ3RER9xtqwdhxkhw/edit?usp=sharing"",""นครปฐม!I386"")"),0)</f>
        <v>0</v>
      </c>
      <c r="J491" s="189">
        <f ca="1">IFERROR(__xludf.DUMMYFUNCTION("IMPORTRANGE(""https://docs.google.com/spreadsheets/d/1SX6NBoVAgQJ6U1MVXOaj8PK2l7WJ3RER9xtqwdhxkhw/edit?usp=sharing"",""นครปฐม!J386"")"),0)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IFERROR(__xludf.DUMMYFUNCTION("IMPORTRANGE(""https://docs.google.com/spreadsheets/d/1SX6NBoVAgQJ6U1MVXOaj8PK2l7WJ3RER9xtqwdhxkhw/edit?usp=sharing"",""นครปฐม!I387"")"),0)</f>
        <v>0</v>
      </c>
      <c r="J492" s="189">
        <f ca="1">IFERROR(__xludf.DUMMYFUNCTION("IMPORTRANGE(""https://docs.google.com/spreadsheets/d/1SX6NBoVAgQJ6U1MVXOaj8PK2l7WJ3RER9xtqwdhxkhw/edit?usp=sharing"",""นครปฐม!J387"")"),0)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IFERROR(__xludf.DUMMYFUNCTION("IMPORTRANGE(""https://docs.google.com/spreadsheets/d/1SX6NBoVAgQJ6U1MVXOaj8PK2l7WJ3RER9xtqwdhxkhw/edit?usp=sharing"",""นครปฐม!I388"")"),0)</f>
        <v>0</v>
      </c>
      <c r="J493" s="189">
        <f ca="1">IFERROR(__xludf.DUMMYFUNCTION("IMPORTRANGE(""https://docs.google.com/spreadsheets/d/1SX6NBoVAgQJ6U1MVXOaj8PK2l7WJ3RER9xtqwdhxkhw/edit?usp=sharing"",""นครปฐม!J388"")"),0)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IFERROR(__xludf.DUMMYFUNCTION("IMPORTRANGE(""https://docs.google.com/spreadsheets/d/1SX6NBoVAgQJ6U1MVXOaj8PK2l7WJ3RER9xtqwdhxkhw/edit?usp=sharing"",""นครปฐม!I389"")"),0)</f>
        <v>0</v>
      </c>
      <c r="J494" s="436">
        <f ca="1">IFERROR(__xludf.DUMMYFUNCTION("IMPORTRANGE(""https://docs.google.com/spreadsheets/d/1SX6NBoVAgQJ6U1MVXOaj8PK2l7WJ3RER9xtqwdhxkhw/edit?usp=sharing"",""นครปฐม!J389"")"),0)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IFERROR(__xludf.DUMMYFUNCTION("IMPORTRANGE(""https://docs.google.com/spreadsheets/d/1SX6NBoVAgQJ6U1MVXOaj8PK2l7WJ3RER9xtqwdhxkhw/edit?usp=sharing"",""นครปฐม!I390"")"),0)</f>
        <v>0</v>
      </c>
      <c r="J495" s="436">
        <f ca="1">IFERROR(__xludf.DUMMYFUNCTION("IMPORTRANGE(""https://docs.google.com/spreadsheets/d/1SX6NBoVAgQJ6U1MVXOaj8PK2l7WJ3RER9xtqwdhxkhw/edit?usp=sharing"",""นครปฐม!J390"")"),0)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IFERROR(__xludf.DUMMYFUNCTION("IMPORTRANGE(""https://docs.google.com/spreadsheets/d/1SX6NBoVAgQJ6U1MVXOaj8PK2l7WJ3RER9xtqwdhxkhw/edit?usp=sharing"",""นครปฐม!I391"")"),0)</f>
        <v>0</v>
      </c>
      <c r="J496" s="436">
        <f ca="1">IFERROR(__xludf.DUMMYFUNCTION("IMPORTRANGE(""https://docs.google.com/spreadsheets/d/1SX6NBoVAgQJ6U1MVXOaj8PK2l7WJ3RER9xtqwdhxkhw/edit?usp=sharing"",""นครปฐม!J391"")"),0)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IFERROR(__xludf.DUMMYFUNCTION("IMPORTRANGE(""https://docs.google.com/spreadsheets/d/1SX6NBoVAgQJ6U1MVXOaj8PK2l7WJ3RER9xtqwdhxkhw/edit?usp=sharing"",""นครปฐม!I392"")"),0)</f>
        <v>0</v>
      </c>
      <c r="J497" s="443">
        <f ca="1">IFERROR(__xludf.DUMMYFUNCTION("IMPORTRANGE(""https://docs.google.com/spreadsheets/d/1SX6NBoVAgQJ6U1MVXOaj8PK2l7WJ3RER9xtqwdhxkhw/edit?usp=sharing"",""นครปฐม!J392"")"),0)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IFERROR(__xludf.DUMMYFUNCTION("IMPORTRANGE(""https://docs.google.com/spreadsheets/d/1SX6NBoVAgQJ6U1MVXOaj8PK2l7WJ3RER9xtqwdhxkhw/edit?usp=sharing"",""นครปฐม!I393"")"),0)</f>
        <v>0</v>
      </c>
      <c r="J498" s="420">
        <f ca="1">IFERROR(__xludf.DUMMYFUNCTION("IMPORTRANGE(""https://docs.google.com/spreadsheets/d/1SX6NBoVAgQJ6U1MVXOaj8PK2l7WJ3RER9xtqwdhxkhw/edit?usp=sharing"",""นครปฐม!J393"")"),0)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IFERROR(__xludf.DUMMYFUNCTION("IMPORTRANGE(""https://docs.google.com/spreadsheets/d/1SX6NBoVAgQJ6U1MVXOaj8PK2l7WJ3RER9xtqwdhxkhw/edit?usp=sharing"",""นครปฐม!I394"")"),0)</f>
        <v>0</v>
      </c>
      <c r="J499" s="420">
        <f ca="1">IFERROR(__xludf.DUMMYFUNCTION("IMPORTRANGE(""https://docs.google.com/spreadsheets/d/1SX6NBoVAgQJ6U1MVXOaj8PK2l7WJ3RER9xtqwdhxkhw/edit?usp=sharing"",""นครปฐม!J394"")"),0)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IFERROR(__xludf.DUMMYFUNCTION("IMPORTRANGE(""https://docs.google.com/spreadsheets/d/1SX6NBoVAgQJ6U1MVXOaj8PK2l7WJ3RER9xtqwdhxkhw/edit?usp=sharing"",""นครปฐม!I395"")"),0)</f>
        <v>0</v>
      </c>
      <c r="J500" s="162">
        <f ca="1">IFERROR(__xludf.DUMMYFUNCTION("IMPORTRANGE(""https://docs.google.com/spreadsheets/d/1SX6NBoVAgQJ6U1MVXOaj8PK2l7WJ3RER9xtqwdhxkhw/edit?usp=sharing"",""นครปฐม!J395"")"),0)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IFERROR(__xludf.DUMMYFUNCTION("IMPORTRANGE(""https://docs.google.com/spreadsheets/d/1SX6NBoVAgQJ6U1MVXOaj8PK2l7WJ3RER9xtqwdhxkhw/edit?usp=sharing"",""นครปฐม!I396"")"),0)</f>
        <v>0</v>
      </c>
      <c r="J501" s="162">
        <f ca="1">IFERROR(__xludf.DUMMYFUNCTION("IMPORTRANGE(""https://docs.google.com/spreadsheets/d/1SX6NBoVAgQJ6U1MVXOaj8PK2l7WJ3RER9xtqwdhxkhw/edit?usp=sharing"",""นครปฐม!J396"")"),0)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IFERROR(__xludf.DUMMYFUNCTION("IMPORTRANGE(""https://docs.google.com/spreadsheets/d/1SX6NBoVAgQJ6U1MVXOaj8PK2l7WJ3RER9xtqwdhxkhw/edit?usp=sharing"",""นครปฐม!I397"")"),0)</f>
        <v>0</v>
      </c>
      <c r="J502" s="189">
        <f ca="1">IFERROR(__xludf.DUMMYFUNCTION("IMPORTRANGE(""https://docs.google.com/spreadsheets/d/1SX6NBoVAgQJ6U1MVXOaj8PK2l7WJ3RER9xtqwdhxkhw/edit?usp=sharing"",""นครปฐม!J397"")"),0)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IFERROR(__xludf.DUMMYFUNCTION("IMPORTRANGE(""https://docs.google.com/spreadsheets/d/1SX6NBoVAgQJ6U1MVXOaj8PK2l7WJ3RER9xtqwdhxkhw/edit?usp=sharing"",""นครปฐม!I398"")"),0)</f>
        <v>0</v>
      </c>
      <c r="J503" s="198">
        <f ca="1">IFERROR(__xludf.DUMMYFUNCTION("IMPORTRANGE(""https://docs.google.com/spreadsheets/d/1SX6NBoVAgQJ6U1MVXOaj8PK2l7WJ3RER9xtqwdhxkhw/edit?usp=sharing"",""นครปฐม!J398"")"),0)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IFERROR(__xludf.DUMMYFUNCTION("IMPORTRANGE(""https://docs.google.com/spreadsheets/d/1SX6NBoVAgQJ6U1MVXOaj8PK2l7WJ3RER9xtqwdhxkhw/edit?usp=sharing"",""นครปฐม!I399"")"),0)</f>
        <v>0</v>
      </c>
      <c r="J504" s="189">
        <f ca="1">IFERROR(__xludf.DUMMYFUNCTION("IMPORTRANGE(""https://docs.google.com/spreadsheets/d/1SX6NBoVAgQJ6U1MVXOaj8PK2l7WJ3RER9xtqwdhxkhw/edit?usp=sharing"",""นครปฐม!J399"")"),0)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IFERROR(__xludf.DUMMYFUNCTION("IMPORTRANGE(""https://docs.google.com/spreadsheets/d/1SX6NBoVAgQJ6U1MVXOaj8PK2l7WJ3RER9xtqwdhxkhw/edit?usp=sharing"",""นครปฐม!I400"")"),0)</f>
        <v>0</v>
      </c>
      <c r="J505" s="198">
        <f ca="1">IFERROR(__xludf.DUMMYFUNCTION("IMPORTRANGE(""https://docs.google.com/spreadsheets/d/1SX6NBoVAgQJ6U1MVXOaj8PK2l7WJ3RER9xtqwdhxkhw/edit?usp=sharing"",""นครปฐม!J400"")"),0)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IFERROR(__xludf.DUMMYFUNCTION("IMPORTRANGE(""https://docs.google.com/spreadsheets/d/1SX6NBoVAgQJ6U1MVXOaj8PK2l7WJ3RER9xtqwdhxkhw/edit?usp=sharing"",""นครปฐม!I401"")"),0)</f>
        <v>0</v>
      </c>
      <c r="J506" s="189">
        <f ca="1">IFERROR(__xludf.DUMMYFUNCTION("IMPORTRANGE(""https://docs.google.com/spreadsheets/d/1SX6NBoVAgQJ6U1MVXOaj8PK2l7WJ3RER9xtqwdhxkhw/edit?usp=sharing"",""นครปฐม!J401"")"),0)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IFERROR(__xludf.DUMMYFUNCTION("IMPORTRANGE(""https://docs.google.com/spreadsheets/d/1SX6NBoVAgQJ6U1MVXOaj8PK2l7WJ3RER9xtqwdhxkhw/edit?usp=sharing"",""นครปฐม!I402"")"),0)</f>
        <v>0</v>
      </c>
      <c r="J507" s="198">
        <f ca="1">IFERROR(__xludf.DUMMYFUNCTION("IMPORTRANGE(""https://docs.google.com/spreadsheets/d/1SX6NBoVAgQJ6U1MVXOaj8PK2l7WJ3RER9xtqwdhxkhw/edit?usp=sharing"",""นครปฐม!J402"")"),0)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IFERROR(__xludf.DUMMYFUNCTION("IMPORTRANGE(""https://docs.google.com/spreadsheets/d/1SX6NBoVAgQJ6U1MVXOaj8PK2l7WJ3RER9xtqwdhxkhw/edit?usp=sharing"",""นครปฐม!I403"")"),0)</f>
        <v>0</v>
      </c>
      <c r="J508" s="162">
        <f ca="1">IFERROR(__xludf.DUMMYFUNCTION("IMPORTRANGE(""https://docs.google.com/spreadsheets/d/1SX6NBoVAgQJ6U1MVXOaj8PK2l7WJ3RER9xtqwdhxkhw/edit?usp=sharing"",""นครปฐม!J403"")"),0)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IFERROR(__xludf.DUMMYFUNCTION("IMPORTRANGE(""https://docs.google.com/spreadsheets/d/1SX6NBoVAgQJ6U1MVXOaj8PK2l7WJ3RER9xtqwdhxkhw/edit?usp=sharing"",""นครปฐม!I404"")"),0)</f>
        <v>0</v>
      </c>
      <c r="J509" s="162">
        <f ca="1">IFERROR(__xludf.DUMMYFUNCTION("IMPORTRANGE(""https://docs.google.com/spreadsheets/d/1SX6NBoVAgQJ6U1MVXOaj8PK2l7WJ3RER9xtqwdhxkhw/edit?usp=sharing"",""นครปฐม!J404"")"),0)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IFERROR(__xludf.DUMMYFUNCTION("IMPORTRANGE(""https://docs.google.com/spreadsheets/d/1SX6NBoVAgQJ6U1MVXOaj8PK2l7WJ3RER9xtqwdhxkhw/edit?usp=sharing"",""นครปฐม!I405"")"),0)</f>
        <v>0</v>
      </c>
      <c r="J510" s="198">
        <f ca="1">IFERROR(__xludf.DUMMYFUNCTION("IMPORTRANGE(""https://docs.google.com/spreadsheets/d/1SX6NBoVAgQJ6U1MVXOaj8PK2l7WJ3RER9xtqwdhxkhw/edit?usp=sharing"",""นครปฐม!J405"")"),0)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IFERROR(__xludf.DUMMYFUNCTION("IMPORTRANGE(""https://docs.google.com/spreadsheets/d/1SX6NBoVAgQJ6U1MVXOaj8PK2l7WJ3RER9xtqwdhxkhw/edit?usp=sharing"",""นครปฐม!I406"")"),0)</f>
        <v>0</v>
      </c>
      <c r="J511" s="198">
        <f ca="1">IFERROR(__xludf.DUMMYFUNCTION("IMPORTRANGE(""https://docs.google.com/spreadsheets/d/1SX6NBoVAgQJ6U1MVXOaj8PK2l7WJ3RER9xtqwdhxkhw/edit?usp=sharing"",""นครปฐม!J406"")"),0)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IFERROR(__xludf.DUMMYFUNCTION("IMPORTRANGE(""https://docs.google.com/spreadsheets/d/1SX6NBoVAgQJ6U1MVXOaj8PK2l7WJ3RER9xtqwdhxkhw/edit?usp=sharing"",""นครปฐม!I407"")"),0)</f>
        <v>0</v>
      </c>
      <c r="J512" s="198">
        <f ca="1">IFERROR(__xludf.DUMMYFUNCTION("IMPORTRANGE(""https://docs.google.com/spreadsheets/d/1SX6NBoVAgQJ6U1MVXOaj8PK2l7WJ3RER9xtqwdhxkhw/edit?usp=sharing"",""นครปฐม!J407"")"),0)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IFERROR(__xludf.DUMMYFUNCTION("IMPORTRANGE(""https://docs.google.com/spreadsheets/d/1SX6NBoVAgQJ6U1MVXOaj8PK2l7WJ3RER9xtqwdhxkhw/edit?usp=sharing"",""นครปฐม!I408"")"),0)</f>
        <v>0</v>
      </c>
      <c r="J513" s="198">
        <f ca="1">IFERROR(__xludf.DUMMYFUNCTION("IMPORTRANGE(""https://docs.google.com/spreadsheets/d/1SX6NBoVAgQJ6U1MVXOaj8PK2l7WJ3RER9xtqwdhxkhw/edit?usp=sharing"",""นครปฐม!J408"")"),0)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IFERROR(__xludf.DUMMYFUNCTION("IMPORTRANGE(""https://docs.google.com/spreadsheets/d/1SX6NBoVAgQJ6U1MVXOaj8PK2l7WJ3RER9xtqwdhxkhw/edit?usp=sharing"",""นครปฐม!I409"")"),0)</f>
        <v>0</v>
      </c>
      <c r="J514" s="198">
        <f ca="1">IFERROR(__xludf.DUMMYFUNCTION("IMPORTRANGE(""https://docs.google.com/spreadsheets/d/1SX6NBoVAgQJ6U1MVXOaj8PK2l7WJ3RER9xtqwdhxkhw/edit?usp=sharing"",""นครปฐม!J409"")"),0)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IFERROR(__xludf.DUMMYFUNCTION("IMPORTRANGE(""https://docs.google.com/spreadsheets/d/1SX6NBoVAgQJ6U1MVXOaj8PK2l7WJ3RER9xtqwdhxkhw/edit?usp=sharing"",""นครปฐม!I410"")"),0)</f>
        <v>0</v>
      </c>
      <c r="J515" s="198">
        <f ca="1">IFERROR(__xludf.DUMMYFUNCTION("IMPORTRANGE(""https://docs.google.com/spreadsheets/d/1SX6NBoVAgQJ6U1MVXOaj8PK2l7WJ3RER9xtqwdhxkhw/edit?usp=sharing"",""นครปฐม!J410"")"),0)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IFERROR(__xludf.DUMMYFUNCTION("IMPORTRANGE(""https://docs.google.com/spreadsheets/d/1SX6NBoVAgQJ6U1MVXOaj8PK2l7WJ3RER9xtqwdhxkhw/edit?usp=sharing"",""นครปฐม!I411"")"),0)</f>
        <v>0</v>
      </c>
      <c r="J516" s="267">
        <f ca="1">IFERROR(__xludf.DUMMYFUNCTION("IMPORTRANGE(""https://docs.google.com/spreadsheets/d/1SX6NBoVAgQJ6U1MVXOaj8PK2l7WJ3RER9xtqwdhxkhw/edit?usp=sharing"",""นครปฐม!J411"")"),0)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IFERROR(__xludf.DUMMYFUNCTION("IMPORTRANGE(""https://docs.google.com/spreadsheets/d/1SX6NBoVAgQJ6U1MVXOaj8PK2l7WJ3RER9xtqwdhxkhw/edit?usp=sharing"",""นครปฐม!I412"")"),0)</f>
        <v>0</v>
      </c>
      <c r="J517" s="284">
        <f ca="1">IFERROR(__xludf.DUMMYFUNCTION("IMPORTRANGE(""https://docs.google.com/spreadsheets/d/1SX6NBoVAgQJ6U1MVXOaj8PK2l7WJ3RER9xtqwdhxkhw/edit?usp=sharing"",""นครปฐม!J412"")"),0)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IFERROR(__xludf.DUMMYFUNCTION("IMPORTRANGE(""https://docs.google.com/spreadsheets/d/1SX6NBoVAgQJ6U1MVXOaj8PK2l7WJ3RER9xtqwdhxkhw/edit?usp=sharing"",""นครปฐม!I413"")"),0)</f>
        <v>0</v>
      </c>
      <c r="J518" s="284">
        <f ca="1">IFERROR(__xludf.DUMMYFUNCTION("IMPORTRANGE(""https://docs.google.com/spreadsheets/d/1SX6NBoVAgQJ6U1MVXOaj8PK2l7WJ3RER9xtqwdhxkhw/edit?usp=sharing"",""นครปฐม!J413"")"),0)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IFERROR(__xludf.DUMMYFUNCTION("IMPORTRANGE(""https://docs.google.com/spreadsheets/d/1SX6NBoVAgQJ6U1MVXOaj8PK2l7WJ3RER9xtqwdhxkhw/edit?usp=sharing"",""นครปฐม!I414"")"),0)</f>
        <v>0</v>
      </c>
      <c r="J519" s="188">
        <f ca="1">IFERROR(__xludf.DUMMYFUNCTION("IMPORTRANGE(""https://docs.google.com/spreadsheets/d/1SX6NBoVAgQJ6U1MVXOaj8PK2l7WJ3RER9xtqwdhxkhw/edit?usp=sharing"",""นครปฐม!J414"")"),0)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IFERROR(__xludf.DUMMYFUNCTION("IMPORTRANGE(""https://docs.google.com/spreadsheets/d/1SX6NBoVAgQJ6U1MVXOaj8PK2l7WJ3RER9xtqwdhxkhw/edit?usp=sharing"",""นครปฐม!I415"")"),0)</f>
        <v>0</v>
      </c>
      <c r="J520" s="188">
        <f ca="1">IFERROR(__xludf.DUMMYFUNCTION("IMPORTRANGE(""https://docs.google.com/spreadsheets/d/1SX6NBoVAgQJ6U1MVXOaj8PK2l7WJ3RER9xtqwdhxkhw/edit?usp=sharing"",""นครปฐม!J415"")"),0)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IFERROR(__xludf.DUMMYFUNCTION("IMPORTRANGE(""https://docs.google.com/spreadsheets/d/1SX6NBoVAgQJ6U1MVXOaj8PK2l7WJ3RER9xtqwdhxkhw/edit?usp=sharing"",""นครปฐม!I416"")"),0)</f>
        <v>0</v>
      </c>
      <c r="J521" s="188">
        <f ca="1">IFERROR(__xludf.DUMMYFUNCTION("IMPORTRANGE(""https://docs.google.com/spreadsheets/d/1SX6NBoVAgQJ6U1MVXOaj8PK2l7WJ3RER9xtqwdhxkhw/edit?usp=sharing"",""นครปฐม!J416"")"),0)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IFERROR(__xludf.DUMMYFUNCTION("IMPORTRANGE(""https://docs.google.com/spreadsheets/d/1SX6NBoVAgQJ6U1MVXOaj8PK2l7WJ3RER9xtqwdhxkhw/edit?usp=sharing"",""นครปฐม!I417"")"),0)</f>
        <v>0</v>
      </c>
      <c r="J522" s="188">
        <f ca="1">IFERROR(__xludf.DUMMYFUNCTION("IMPORTRANGE(""https://docs.google.com/spreadsheets/d/1SX6NBoVAgQJ6U1MVXOaj8PK2l7WJ3RER9xtqwdhxkhw/edit?usp=sharing"",""นครปฐม!J417"")"),0)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IFERROR(__xludf.DUMMYFUNCTION("IMPORTRANGE(""https://docs.google.com/spreadsheets/d/1SX6NBoVAgQJ6U1MVXOaj8PK2l7WJ3RER9xtqwdhxkhw/edit?usp=sharing"",""นครปฐม!I418"")"),0)</f>
        <v>0</v>
      </c>
      <c r="J523" s="188">
        <f ca="1">IFERROR(__xludf.DUMMYFUNCTION("IMPORTRANGE(""https://docs.google.com/spreadsheets/d/1SX6NBoVAgQJ6U1MVXOaj8PK2l7WJ3RER9xtqwdhxkhw/edit?usp=sharing"",""นครปฐม!J418"")"),0)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IFERROR(__xludf.DUMMYFUNCTION("IMPORTRANGE(""https://docs.google.com/spreadsheets/d/1SX6NBoVAgQJ6U1MVXOaj8PK2l7WJ3RER9xtqwdhxkhw/edit?usp=sharing"",""นครปฐม!I419"")"),0)</f>
        <v>0</v>
      </c>
      <c r="J524" s="188">
        <f ca="1">IFERROR(__xludf.DUMMYFUNCTION("IMPORTRANGE(""https://docs.google.com/spreadsheets/d/1SX6NBoVAgQJ6U1MVXOaj8PK2l7WJ3RER9xtqwdhxkhw/edit?usp=sharing"",""นครปฐม!J419"")"),0)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IFERROR(__xludf.DUMMYFUNCTION("IMPORTRANGE(""https://docs.google.com/spreadsheets/d/1SX6NBoVAgQJ6U1MVXOaj8PK2l7WJ3RER9xtqwdhxkhw/edit?usp=sharing"",""นครปฐม!I420"")"),0)</f>
        <v>0</v>
      </c>
      <c r="J525" s="284">
        <f ca="1">IFERROR(__xludf.DUMMYFUNCTION("IMPORTRANGE(""https://docs.google.com/spreadsheets/d/1SX6NBoVAgQJ6U1MVXOaj8PK2l7WJ3RER9xtqwdhxkhw/edit?usp=sharing"",""นครปฐม!J420"")"),0)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IFERROR(__xludf.DUMMYFUNCTION("IMPORTRANGE(""https://docs.google.com/spreadsheets/d/1SX6NBoVAgQJ6U1MVXOaj8PK2l7WJ3RER9xtqwdhxkhw/edit?usp=sharing"",""นครปฐม!I421"")"),0)</f>
        <v>0</v>
      </c>
      <c r="J526" s="284">
        <f ca="1">IFERROR(__xludf.DUMMYFUNCTION("IMPORTRANGE(""https://docs.google.com/spreadsheets/d/1SX6NBoVAgQJ6U1MVXOaj8PK2l7WJ3RER9xtqwdhxkhw/edit?usp=sharing"",""นครปฐม!J421"")"),0)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IFERROR(__xludf.DUMMYFUNCTION("IMPORTRANGE(""https://docs.google.com/spreadsheets/d/1SX6NBoVAgQJ6U1MVXOaj8PK2l7WJ3RER9xtqwdhxkhw/edit?usp=sharing"",""นครปฐม!I422"")"),0)</f>
        <v>0</v>
      </c>
      <c r="J527" s="198">
        <f ca="1">IFERROR(__xludf.DUMMYFUNCTION("IMPORTRANGE(""https://docs.google.com/spreadsheets/d/1SX6NBoVAgQJ6U1MVXOaj8PK2l7WJ3RER9xtqwdhxkhw/edit?usp=sharing"",""นครปฐม!J422"")"),0)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IFERROR(__xludf.DUMMYFUNCTION("IMPORTRANGE(""https://docs.google.com/spreadsheets/d/1SX6NBoVAgQJ6U1MVXOaj8PK2l7WJ3RER9xtqwdhxkhw/edit?usp=sharing"",""นครปฐม!I423"")"),0)</f>
        <v>0</v>
      </c>
      <c r="J528" s="198">
        <f ca="1">IFERROR(__xludf.DUMMYFUNCTION("IMPORTRANGE(""https://docs.google.com/spreadsheets/d/1SX6NBoVAgQJ6U1MVXOaj8PK2l7WJ3RER9xtqwdhxkhw/edit?usp=sharing"",""นครปฐม!J423"")"),0)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IFERROR(__xludf.DUMMYFUNCTION("IMPORTRANGE(""https://docs.google.com/spreadsheets/d/1SX6NBoVAgQJ6U1MVXOaj8PK2l7WJ3RER9xtqwdhxkhw/edit?usp=sharing"",""นครปฐม!I424"")"),0)</f>
        <v>0</v>
      </c>
      <c r="J529" s="198">
        <f ca="1">IFERROR(__xludf.DUMMYFUNCTION("IMPORTRANGE(""https://docs.google.com/spreadsheets/d/1SX6NBoVAgQJ6U1MVXOaj8PK2l7WJ3RER9xtqwdhxkhw/edit?usp=sharing"",""นครปฐม!J424"")"),0)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IFERROR(__xludf.DUMMYFUNCTION("IMPORTRANGE(""https://docs.google.com/spreadsheets/d/1SX6NBoVAgQJ6U1MVXOaj8PK2l7WJ3RER9xtqwdhxkhw/edit?usp=sharing"",""นครปฐม!I425"")"),0)</f>
        <v>0</v>
      </c>
      <c r="J530" s="198">
        <f ca="1">IFERROR(__xludf.DUMMYFUNCTION("IMPORTRANGE(""https://docs.google.com/spreadsheets/d/1SX6NBoVAgQJ6U1MVXOaj8PK2l7WJ3RER9xtqwdhxkhw/edit?usp=sharing"",""นครปฐม!J425"")"),0)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IFERROR(__xludf.DUMMYFUNCTION("IMPORTRANGE(""https://docs.google.com/spreadsheets/d/1SX6NBoVAgQJ6U1MVXOaj8PK2l7WJ3RER9xtqwdhxkhw/edit?usp=sharing"",""นครปฐม!I426"")"),0)</f>
        <v>0</v>
      </c>
      <c r="J531" s="198">
        <f ca="1">IFERROR(__xludf.DUMMYFUNCTION("IMPORTRANGE(""https://docs.google.com/spreadsheets/d/1SX6NBoVAgQJ6U1MVXOaj8PK2l7WJ3RER9xtqwdhxkhw/edit?usp=sharing"",""นครปฐม!J426"")"),0)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IFERROR(__xludf.DUMMYFUNCTION("IMPORTRANGE(""https://docs.google.com/spreadsheets/d/1SX6NBoVAgQJ6U1MVXOaj8PK2l7WJ3RER9xtqwdhxkhw/edit?usp=sharing"",""นครปฐม!I427"")"),0)</f>
        <v>0</v>
      </c>
      <c r="J532" s="466">
        <f ca="1">IFERROR(__xludf.DUMMYFUNCTION("IMPORTRANGE(""https://docs.google.com/spreadsheets/d/1SX6NBoVAgQJ6U1MVXOaj8PK2l7WJ3RER9xtqwdhxkhw/edit?usp=sharing"",""นครปฐม!J427"")"),0)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IFERROR(__xludf.DUMMYFUNCTION("IMPORTRANGE(""https://docs.google.com/spreadsheets/d/1SX6NBoVAgQJ6U1MVXOaj8PK2l7WJ3RER9xtqwdhxkhw/edit?usp=sharing"",""นครปฐม!I428"")"),20)</f>
        <v>20</v>
      </c>
      <c r="J533" s="410">
        <f ca="1">IFERROR(__xludf.DUMMYFUNCTION("IMPORTRANGE(""https://docs.google.com/spreadsheets/d/1SX6NBoVAgQJ6U1MVXOaj8PK2l7WJ3RER9xtqwdhxkhw/edit?usp=sharing"",""นครปฐม!J428"")"),20)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IFERROR(__xludf.DUMMYFUNCTION("IMPORTRANGE(""https://docs.google.com/spreadsheets/d/1SX6NBoVAgQJ6U1MVXOaj8PK2l7WJ3RER9xtqwdhxkhw/edit?usp=sharing"",""นครปฐม!L428"")"),32640)</f>
        <v>32640</v>
      </c>
      <c r="M533" s="412"/>
      <c r="N533" s="412">
        <f ca="1">IFERROR(__xludf.DUMMYFUNCTION("IMPORTRANGE(""https://docs.google.com/spreadsheets/d/1SX6NBoVAgQJ6U1MVXOaj8PK2l7WJ3RER9xtqwdhxkhw/edit?usp=sharing"",""นครปฐม!M428"")"),28080)</f>
        <v>28080</v>
      </c>
      <c r="O533" s="412">
        <f t="shared" ref="O533:O537" ca="1" si="118">+IF(L533&gt;0,N533*100/L533,0)</f>
        <v>86.029411764705884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IFERROR(__xludf.DUMMYFUNCTION("IMPORTRANGE(""https://docs.google.com/spreadsheets/d/1SX6NBoVAgQJ6U1MVXOaj8PK2l7WJ3RER9xtqwdhxkhw/edit?usp=sharing"",""นครปฐม!L429"")"),0)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IFERROR(__xludf.DUMMYFUNCTION("IMPORTRANGE(""https://docs.google.com/spreadsheets/d/1SX6NBoVAgQJ6U1MVXOaj8PK2l7WJ3RER9xtqwdhxkhw/edit?usp=sharing"",""นครปฐม!M429"")"),0)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IFERROR(__xludf.DUMMYFUNCTION("IMPORTRANGE(""https://docs.google.com/spreadsheets/d/1SX6NBoVAgQJ6U1MVXOaj8PK2l7WJ3RER9xtqwdhxkhw/edit?usp=sharing"",""นครปฐม!L430"")"),32640)</f>
        <v>32640</v>
      </c>
      <c r="M535" s="165"/>
      <c r="N535" s="169">
        <f ca="1">IFERROR(__xludf.DUMMYFUNCTION("IMPORTRANGE(""https://docs.google.com/spreadsheets/d/1SX6NBoVAgQJ6U1MVXOaj8PK2l7WJ3RER9xtqwdhxkhw/edit?usp=sharing"",""นครปฐม!M430"")"),28080)</f>
        <v>28080</v>
      </c>
      <c r="O535" s="169">
        <f t="shared" ca="1" si="118"/>
        <v>86.029411764705884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IFERROR(__xludf.DUMMYFUNCTION("IMPORTRANGE(""https://docs.google.com/spreadsheets/d/1SX6NBoVAgQJ6U1MVXOaj8PK2l7WJ3RER9xtqwdhxkhw/edit?usp=sharing"",""นครปฐม!L431"")"),0)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IFERROR(__xludf.DUMMYFUNCTION("IMPORTRANGE(""https://docs.google.com/spreadsheets/d/1SX6NBoVAgQJ6U1MVXOaj8PK2l7WJ3RER9xtqwdhxkhw/edit?usp=sharing"",""นครปฐม!M431"")"),0)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IFERROR(__xludf.DUMMYFUNCTION("IMPORTRANGE(""https://docs.google.com/spreadsheets/d/1SX6NBoVAgQJ6U1MVXOaj8PK2l7WJ3RER9xtqwdhxkhw/edit?usp=sharing"",""นครปฐม!L432"")"),32640)</f>
        <v>32640</v>
      </c>
      <c r="M537" s="169"/>
      <c r="N537" s="169">
        <f ca="1">IFERROR(__xludf.DUMMYFUNCTION("IMPORTRANGE(""https://docs.google.com/spreadsheets/d/1SX6NBoVAgQJ6U1MVXOaj8PK2l7WJ3RER9xtqwdhxkhw/edit?usp=sharing"",""นครปฐม!M432"")"),28080)</f>
        <v>28080</v>
      </c>
      <c r="O537" s="169">
        <f t="shared" ca="1" si="118"/>
        <v>86.029411764705884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IFERROR(__xludf.DUMMYFUNCTION("IMPORTRANGE(""https://docs.google.com/spreadsheets/d/1SX6NBoVAgQJ6U1MVXOaj8PK2l7WJ3RER9xtqwdhxkhw/edit?usp=sharing"",""นครปฐม!M433"")"),17040)</f>
        <v>17040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IFERROR(__xludf.DUMMYFUNCTION("IMPORTRANGE(""https://docs.google.com/spreadsheets/d/1SX6NBoVAgQJ6U1MVXOaj8PK2l7WJ3RER9xtqwdhxkhw/edit?usp=sharing"",""นครปฐม!M434"")"),0)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IFERROR(__xludf.DUMMYFUNCTION("IMPORTRANGE(""https://docs.google.com/spreadsheets/d/1SX6NBoVAgQJ6U1MVXOaj8PK2l7WJ3RER9xtqwdhxkhw/edit?usp=sharing"",""นครปฐม!M435"")"),0)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IFERROR(__xludf.DUMMYFUNCTION("IMPORTRANGE(""https://docs.google.com/spreadsheets/d/1SX6NBoVAgQJ6U1MVXOaj8PK2l7WJ3RER9xtqwdhxkhw/edit?usp=sharing"",""นครปฐม!M436"")"),11040)</f>
        <v>11040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IFERROR(__xludf.DUMMYFUNCTION("IMPORTRANGE(""https://docs.google.com/spreadsheets/d/1SX6NBoVAgQJ6U1MVXOaj8PK2l7WJ3RER9xtqwdhxkhw/edit?usp=sharing"",""นครปฐม!J438"")"),0)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IFERROR(__xludf.DUMMYFUNCTION("IMPORTRANGE(""https://docs.google.com/spreadsheets/d/1SX6NBoVAgQJ6U1MVXOaj8PK2l7WJ3RER9xtqwdhxkhw/edit?usp=sharing"",""นครปฐม!J439"")"),1)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IFERROR(__xludf.DUMMYFUNCTION("IMPORTRANGE(""https://docs.google.com/spreadsheets/d/1SX6NBoVAgQJ6U1MVXOaj8PK2l7WJ3RER9xtqwdhxkhw/edit?usp=sharing"",""นครปฐม!J440"")"),1)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IFERROR(__xludf.DUMMYFUNCTION("IMPORTRANGE(""https://docs.google.com/spreadsheets/d/1SX6NBoVAgQJ6U1MVXOaj8PK2l7WJ3RER9xtqwdhxkhw/edit?usp=sharing"",""นครปฐม!J441"")"),1)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IFERROR(__xludf.DUMMYFUNCTION("IMPORTRANGE(""https://docs.google.com/spreadsheets/d/1SX6NBoVAgQJ6U1MVXOaj8PK2l7WJ3RER9xtqwdhxkhw/edit?usp=sharing"",""นครปฐม!I442"")"),20)</f>
        <v>20</v>
      </c>
      <c r="J547" s="189">
        <f ca="1">IFERROR(__xludf.DUMMYFUNCTION("IMPORTRANGE(""https://docs.google.com/spreadsheets/d/1SX6NBoVAgQJ6U1MVXOaj8PK2l7WJ3RER9xtqwdhxkhw/edit?usp=sharing"",""นครปฐม!J442"")"),20)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IFERROR(__xludf.DUMMYFUNCTION("IMPORTRANGE(""https://docs.google.com/spreadsheets/d/1SX6NBoVAgQJ6U1MVXOaj8PK2l7WJ3RER9xtqwdhxkhw/edit?usp=sharing"",""นครปฐม!J166"")"),0)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IFERROR(__xludf.DUMMYFUNCTION("IMPORTRANGE(""https://docs.google.com/spreadsheets/d/1SX6NBoVAgQJ6U1MVXOaj8PK2l7WJ3RER9xtqwdhxkhw/edit?usp=sharing"",""นครปฐม!J444"")"),0)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IFERROR(__xludf.DUMMYFUNCTION("IMPORTRANGE(""https://docs.google.com/spreadsheets/d/1SX6NBoVAgQJ6U1MVXOaj8PK2l7WJ3RER9xtqwdhxkhw/edit?usp=sharing"",""นครปฐม!J445"")"),0)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IFERROR(__xludf.DUMMYFUNCTION("IMPORTRANGE(""https://docs.google.com/spreadsheets/d/1SX6NBoVAgQJ6U1MVXOaj8PK2l7WJ3RER9xtqwdhxkhw/edit?usp=sharing"",""นครปฐม!I446"")"),0)</f>
        <v>0</v>
      </c>
      <c r="J551" s="410">
        <f ca="1">IFERROR(__xludf.DUMMYFUNCTION("IMPORTRANGE(""https://docs.google.com/spreadsheets/d/1SX6NBoVAgQJ6U1MVXOaj8PK2l7WJ3RER9xtqwdhxkhw/edit?usp=sharing"",""นครปฐม!J446"")"),0)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IFERROR(__xludf.DUMMYFUNCTION("IMPORTRANGE(""https://docs.google.com/spreadsheets/d/1SX6NBoVAgQJ6U1MVXOaj8PK2l7WJ3RER9xtqwdhxkhw/edit?usp=sharing"",""นครปฐม!L446"")"),0)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IFERROR(__xludf.DUMMYFUNCTION("IMPORTRANGE(""https://docs.google.com/spreadsheets/d/1SX6NBoVAgQJ6U1MVXOaj8PK2l7WJ3RER9xtqwdhxkhw/edit?usp=sharing"",""นครปฐม!M446"")"),0)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IFERROR(__xludf.DUMMYFUNCTION("IMPORTRANGE(""https://docs.google.com/spreadsheets/d/1SX6NBoVAgQJ6U1MVXOaj8PK2l7WJ3RER9xtqwdhxkhw/edit?usp=sharing"",""นครปฐม!L447"")"),0)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IFERROR(__xludf.DUMMYFUNCTION("IMPORTRANGE(""https://docs.google.com/spreadsheets/d/1SX6NBoVAgQJ6U1MVXOaj8PK2l7WJ3RER9xtqwdhxkhw/edit?usp=sharing"",""นครปฐม!M447"")"),0)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IFERROR(__xludf.DUMMYFUNCTION("IMPORTRANGE(""https://docs.google.com/spreadsheets/d/1SX6NBoVAgQJ6U1MVXOaj8PK2l7WJ3RER9xtqwdhxkhw/edit?usp=sharing"",""นครปฐม!L448"")"),0)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IFERROR(__xludf.DUMMYFUNCTION("IMPORTRANGE(""https://docs.google.com/spreadsheets/d/1SX6NBoVAgQJ6U1MVXOaj8PK2l7WJ3RER9xtqwdhxkhw/edit?usp=sharing"",""นครปฐม!M448"")"),0)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IFERROR(__xludf.DUMMYFUNCTION("IMPORTRANGE(""https://docs.google.com/spreadsheets/d/1SX6NBoVAgQJ6U1MVXOaj8PK2l7WJ3RER9xtqwdhxkhw/edit?usp=sharing"",""นครปฐม!L449"")"),0)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IFERROR(__xludf.DUMMYFUNCTION("IMPORTRANGE(""https://docs.google.com/spreadsheets/d/1SX6NBoVAgQJ6U1MVXOaj8PK2l7WJ3RER9xtqwdhxkhw/edit?usp=sharing"",""นครปฐม!M449"")"),0)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IFERROR(__xludf.DUMMYFUNCTION("IMPORTRANGE(""https://docs.google.com/spreadsheets/d/1SX6NBoVAgQJ6U1MVXOaj8PK2l7WJ3RER9xtqwdhxkhw/edit?usp=sharing"",""นครปฐม!L450"")"),0)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IFERROR(__xludf.DUMMYFUNCTION("IMPORTRANGE(""https://docs.google.com/spreadsheets/d/1SX6NBoVAgQJ6U1MVXOaj8PK2l7WJ3RER9xtqwdhxkhw/edit?usp=sharing"",""นครปฐม!M450"")"),0)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IFERROR(__xludf.DUMMYFUNCTION("IMPORTRANGE(""https://docs.google.com/spreadsheets/d/1SX6NBoVAgQJ6U1MVXOaj8PK2l7WJ3RER9xtqwdhxkhw/edit?usp=sharing"",""นครปฐม!M451"")"),0)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IFERROR(__xludf.DUMMYFUNCTION("IMPORTRANGE(""https://docs.google.com/spreadsheets/d/1SX6NBoVAgQJ6U1MVXOaj8PK2l7WJ3RER9xtqwdhxkhw/edit?usp=sharing"",""นครปฐม!M452"")"),0)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IFERROR(__xludf.DUMMYFUNCTION("IMPORTRANGE(""https://docs.google.com/spreadsheets/d/1SX6NBoVAgQJ6U1MVXOaj8PK2l7WJ3RER9xtqwdhxkhw/edit?usp=sharing"",""นครปฐม!M453"")"),0)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IFERROR(__xludf.DUMMYFUNCTION("IMPORTRANGE(""https://docs.google.com/spreadsheets/d/1SX6NBoVAgQJ6U1MVXOaj8PK2l7WJ3RER9xtqwdhxkhw/edit?usp=sharing"",""นครปฐม!M454"")"),0)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IFERROR(__xludf.DUMMYFUNCTION("IMPORTRANGE(""https://docs.google.com/spreadsheets/d/1SX6NBoVAgQJ6U1MVXOaj8PK2l7WJ3RER9xtqwdhxkhw/edit?usp=sharing"",""นครปฐม!I455"")"),0)</f>
        <v>0</v>
      </c>
      <c r="J560" s="162">
        <f ca="1">IFERROR(__xludf.DUMMYFUNCTION("IMPORTRANGE(""https://docs.google.com/spreadsheets/d/1SX6NBoVAgQJ6U1MVXOaj8PK2l7WJ3RER9xtqwdhxkhw/edit?usp=sharing"",""นครปฐม!J455"")"),0)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IFERROR(__xludf.DUMMYFUNCTION("IMPORTRANGE(""https://docs.google.com/spreadsheets/d/1SX6NBoVAgQJ6U1MVXOaj8PK2l7WJ3RER9xtqwdhxkhw/edit?usp=sharing"",""นครปฐม!I456"")"),0)</f>
        <v>0</v>
      </c>
      <c r="J561" s="204">
        <f ca="1">IFERROR(__xludf.DUMMYFUNCTION("IMPORTRANGE(""https://docs.google.com/spreadsheets/d/1SX6NBoVAgQJ6U1MVXOaj8PK2l7WJ3RER9xtqwdhxkhw/edit?usp=sharing"",""นครปฐม!J456"")"),0)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IFERROR(__xludf.DUMMYFUNCTION("IMPORTRANGE(""https://docs.google.com/spreadsheets/d/1SX6NBoVAgQJ6U1MVXOaj8PK2l7WJ3RER9xtqwdhxkhw/edit?usp=sharing"",""นครปฐม!I459"")"),100)</f>
        <v>100</v>
      </c>
      <c r="J564" s="371">
        <f ca="1">IFERROR(__xludf.DUMMYFUNCTION("IMPORTRANGE(""https://docs.google.com/spreadsheets/d/1SX6NBoVAgQJ6U1MVXOaj8PK2l7WJ3RER9xtqwdhxkhw/edit?usp=sharing"",""นครปฐม!J459"")"),57)</f>
        <v>57</v>
      </c>
      <c r="K564" s="372">
        <f ca="1">IF(I564&gt;0,J564*100/I564,0)</f>
        <v>57</v>
      </c>
      <c r="L564" s="373">
        <f ca="1">IFERROR(__xludf.DUMMYFUNCTION("IMPORTRANGE(""https://docs.google.com/spreadsheets/d/1SX6NBoVAgQJ6U1MVXOaj8PK2l7WJ3RER9xtqwdhxkhw/edit?usp=sharing"",""นครปฐม!L459"")"),116160)</f>
        <v>116160</v>
      </c>
      <c r="M564" s="373"/>
      <c r="N564" s="373">
        <f ca="1">IFERROR(__xludf.DUMMYFUNCTION("IMPORTRANGE(""https://docs.google.com/spreadsheets/d/1SX6NBoVAgQJ6U1MVXOaj8PK2l7WJ3RER9xtqwdhxkhw/edit?usp=sharing"",""นครปฐม!M459"")"),60416.72)</f>
        <v>60416.72</v>
      </c>
      <c r="O564" s="373">
        <f t="shared" ref="O564:O568" ca="1" si="122">+IF(L564&gt;0,N564*100/L564,0)</f>
        <v>52.011639118457303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IFERROR(__xludf.DUMMYFUNCTION("IMPORTRANGE(""https://docs.google.com/spreadsheets/d/1SX6NBoVAgQJ6U1MVXOaj8PK2l7WJ3RER9xtqwdhxkhw/edit?usp=sharing"",""นครปฐม!L460"")"),0)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IFERROR(__xludf.DUMMYFUNCTION("IMPORTRANGE(""https://docs.google.com/spreadsheets/d/1SX6NBoVAgQJ6U1MVXOaj8PK2l7WJ3RER9xtqwdhxkhw/edit?usp=sharing"",""นครปฐม!M460"")"),0)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IFERROR(__xludf.DUMMYFUNCTION("IMPORTRANGE(""https://docs.google.com/spreadsheets/d/1SX6NBoVAgQJ6U1MVXOaj8PK2l7WJ3RER9xtqwdhxkhw/edit?usp=sharing"",""นครปฐม!L461"")"),116160)</f>
        <v>116160</v>
      </c>
      <c r="M566" s="165"/>
      <c r="N566" s="169">
        <f ca="1">IFERROR(__xludf.DUMMYFUNCTION("IMPORTRANGE(""https://docs.google.com/spreadsheets/d/1SX6NBoVAgQJ6U1MVXOaj8PK2l7WJ3RER9xtqwdhxkhw/edit?usp=sharing"",""นครปฐม!M461"")"),60416.72)</f>
        <v>60416.72</v>
      </c>
      <c r="O566" s="169">
        <f t="shared" ca="1" si="122"/>
        <v>52.011639118457303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IFERROR(__xludf.DUMMYFUNCTION("IMPORTRANGE(""https://docs.google.com/spreadsheets/d/1SX6NBoVAgQJ6U1MVXOaj8PK2l7WJ3RER9xtqwdhxkhw/edit?usp=sharing"",""นครปฐม!L462"")"),0)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IFERROR(__xludf.DUMMYFUNCTION("IMPORTRANGE(""https://docs.google.com/spreadsheets/d/1SX6NBoVAgQJ6U1MVXOaj8PK2l7WJ3RER9xtqwdhxkhw/edit?usp=sharing"",""นครปฐม!M462"")"),0)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IFERROR(__xludf.DUMMYFUNCTION("IMPORTRANGE(""https://docs.google.com/spreadsheets/d/1SX6NBoVAgQJ6U1MVXOaj8PK2l7WJ3RER9xtqwdhxkhw/edit?usp=sharing"",""นครปฐม!L463"")"),116160)</f>
        <v>116160</v>
      </c>
      <c r="M568" s="169"/>
      <c r="N568" s="169">
        <f ca="1">IFERROR(__xludf.DUMMYFUNCTION("IMPORTRANGE(""https://docs.google.com/spreadsheets/d/1SX6NBoVAgQJ6U1MVXOaj8PK2l7WJ3RER9xtqwdhxkhw/edit?usp=sharing"",""นครปฐม!M463"")"),60416.72)</f>
        <v>60416.72</v>
      </c>
      <c r="O568" s="169">
        <f t="shared" ca="1" si="122"/>
        <v>52.011639118457303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IFERROR(__xludf.DUMMYFUNCTION("IMPORTRANGE(""https://docs.google.com/spreadsheets/d/1SX6NBoVAgQJ6U1MVXOaj8PK2l7WJ3RER9xtqwdhxkhw/edit?usp=sharing"",""นครปฐม!M464"")"),0)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IFERROR(__xludf.DUMMYFUNCTION("IMPORTRANGE(""https://docs.google.com/spreadsheets/d/1SX6NBoVAgQJ6U1MVXOaj8PK2l7WJ3RER9xtqwdhxkhw/edit?usp=sharing"",""นครปฐม!M465"")"),0)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IFERROR(__xludf.DUMMYFUNCTION("IMPORTRANGE(""https://docs.google.com/spreadsheets/d/1SX6NBoVAgQJ6U1MVXOaj8PK2l7WJ3RER9xtqwdhxkhw/edit?usp=sharing"",""นครปฐม!M466"")"),52066.72)</f>
        <v>52066.720000000001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IFERROR(__xludf.DUMMYFUNCTION("IMPORTRANGE(""https://docs.google.com/spreadsheets/d/1SX6NBoVAgQJ6U1MVXOaj8PK2l7WJ3RER9xtqwdhxkhw/edit?usp=sharing"",""นครปฐม!M467"")"),8350)</f>
        <v>8350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IFERROR(__xludf.DUMMYFUNCTION("IMPORTRANGE(""https://docs.google.com/spreadsheets/d/1SX6NBoVAgQJ6U1MVXOaj8PK2l7WJ3RER9xtqwdhxkhw/edit?usp=sharing"",""นครปฐม!I468"")"),100)</f>
        <v>100</v>
      </c>
      <c r="J573" s="420">
        <f ca="1">IFERROR(__xludf.DUMMYFUNCTION("IMPORTRANGE(""https://docs.google.com/spreadsheets/d/1SX6NBoVAgQJ6U1MVXOaj8PK2l7WJ3RER9xtqwdhxkhw/edit?usp=sharing"",""นครปฐม!J468"")"),57)</f>
        <v>57</v>
      </c>
      <c r="K573" s="202">
        <f ca="1">IF(I573&gt;0,J573*100/I573,0)</f>
        <v>57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IFERROR(__xludf.DUMMYFUNCTION("IMPORTRANGE(""https://docs.google.com/spreadsheets/d/1SX6NBoVAgQJ6U1MVXOaj8PK2l7WJ3RER9xtqwdhxkhw/edit?usp=sharing"",""นครปฐม!I470"")"),0)</f>
        <v>0</v>
      </c>
      <c r="J575" s="198">
        <f ca="1">IFERROR(__xludf.DUMMYFUNCTION("IMPORTRANGE(""https://docs.google.com/spreadsheets/d/1SX6NBoVAgQJ6U1MVXOaj8PK2l7WJ3RER9xtqwdhxkhw/edit?usp=sharing"",""นครปฐม!J470"")"),1)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IFERROR(__xludf.DUMMYFUNCTION("IMPORTRANGE(""https://docs.google.com/spreadsheets/d/1SX6NBoVAgQJ6U1MVXOaj8PK2l7WJ3RER9xtqwdhxkhw/edit?usp=sharing"",""นครปฐม!I471"")"),0)</f>
        <v>0</v>
      </c>
      <c r="J576" s="198">
        <f ca="1">IFERROR(__xludf.DUMMYFUNCTION("IMPORTRANGE(""https://docs.google.com/spreadsheets/d/1SX6NBoVAgQJ6U1MVXOaj8PK2l7WJ3RER9xtqwdhxkhw/edit?usp=sharing"",""นครปฐม!J471"")"),26)</f>
        <v>26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IFERROR(__xludf.DUMMYFUNCTION("IMPORTRANGE(""https://docs.google.com/spreadsheets/d/1SX6NBoVAgQJ6U1MVXOaj8PK2l7WJ3RER9xtqwdhxkhw/edit?usp=sharing"",""นครปฐม!I472"")"),0)</f>
        <v>0</v>
      </c>
      <c r="J577" s="189">
        <f ca="1">IFERROR(__xludf.DUMMYFUNCTION("IMPORTRANGE(""https://docs.google.com/spreadsheets/d/1SX6NBoVAgQJ6U1MVXOaj8PK2l7WJ3RER9xtqwdhxkhw/edit?usp=sharing"",""นครปฐม!J472"")"),31)</f>
        <v>31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IFERROR(__xludf.DUMMYFUNCTION("IMPORTRANGE(""https://docs.google.com/spreadsheets/d/1SX6NBoVAgQJ6U1MVXOaj8PK2l7WJ3RER9xtqwdhxkhw/edit?usp=sharing"",""นครปฐม!I473"")"),0)</f>
        <v>0</v>
      </c>
      <c r="J578" s="198">
        <f ca="1">IFERROR(__xludf.DUMMYFUNCTION("IMPORTRANGE(""https://docs.google.com/spreadsheets/d/1SX6NBoVAgQJ6U1MVXOaj8PK2l7WJ3RER9xtqwdhxkhw/edit?usp=sharing"",""นครปฐม!J473"")"),0)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IFERROR(__xludf.DUMMYFUNCTION("IMPORTRANGE(""https://docs.google.com/spreadsheets/d/1SX6NBoVAgQJ6U1MVXOaj8PK2l7WJ3RER9xtqwdhxkhw/edit?usp=sharing"",""นครปฐม!I474"")"),0)</f>
        <v>0</v>
      </c>
      <c r="J579" s="198">
        <f ca="1">IFERROR(__xludf.DUMMYFUNCTION("IMPORTRANGE(""https://docs.google.com/spreadsheets/d/1SX6NBoVAgQJ6U1MVXOaj8PK2l7WJ3RER9xtqwdhxkhw/edit?usp=sharing"",""นครปฐม!J474"")"),0)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IFERROR(__xludf.DUMMYFUNCTION("IMPORTRANGE(""https://docs.google.com/spreadsheets/d/1SX6NBoVAgQJ6U1MVXOaj8PK2l7WJ3RER9xtqwdhxkhw/edit?usp=sharing"",""นครปฐม!I475"")"),0)</f>
        <v>0</v>
      </c>
      <c r="J580" s="371">
        <f ca="1">IFERROR(__xludf.DUMMYFUNCTION("IMPORTRANGE(""https://docs.google.com/spreadsheets/d/1SX6NBoVAgQJ6U1MVXOaj8PK2l7WJ3RER9xtqwdhxkhw/edit?usp=sharing"",""นครปฐม!J475"")"),0)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IFERROR(__xludf.DUMMYFUNCTION("IMPORTRANGE(""https://docs.google.com/spreadsheets/d/1SX6NBoVAgQJ6U1MVXOaj8PK2l7WJ3RER9xtqwdhxkhw/edit?usp=sharing"",""นครปฐม!L475"")"),0)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IFERROR(__xludf.DUMMYFUNCTION("IMPORTRANGE(""https://docs.google.com/spreadsheets/d/1SX6NBoVAgQJ6U1MVXOaj8PK2l7WJ3RER9xtqwdhxkhw/edit?usp=sharing"",""นครปฐม!M475"")"),0)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IFERROR(__xludf.DUMMYFUNCTION("IMPORTRANGE(""https://docs.google.com/spreadsheets/d/1SX6NBoVAgQJ6U1MVXOaj8PK2l7WJ3RER9xtqwdhxkhw/edit?usp=sharing"",""นครปฐม!L476"")"),0)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IFERROR(__xludf.DUMMYFUNCTION("IMPORTRANGE(""https://docs.google.com/spreadsheets/d/1SX6NBoVAgQJ6U1MVXOaj8PK2l7WJ3RER9xtqwdhxkhw/edit?usp=sharing"",""นครปฐม!M476"")"),0)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IFERROR(__xludf.DUMMYFUNCTION("IMPORTRANGE(""https://docs.google.com/spreadsheets/d/1SX6NBoVAgQJ6U1MVXOaj8PK2l7WJ3RER9xtqwdhxkhw/edit?usp=sharing"",""นครปฐม!L477"")"),0)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IFERROR(__xludf.DUMMYFUNCTION("IMPORTRANGE(""https://docs.google.com/spreadsheets/d/1SX6NBoVAgQJ6U1MVXOaj8PK2l7WJ3RER9xtqwdhxkhw/edit?usp=sharing"",""นครปฐม!M477"")"),0)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IFERROR(__xludf.DUMMYFUNCTION("IMPORTRANGE(""https://docs.google.com/spreadsheets/d/1SX6NBoVAgQJ6U1MVXOaj8PK2l7WJ3RER9xtqwdhxkhw/edit?usp=sharing"",""นครปฐม!L478"")"),0)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IFERROR(__xludf.DUMMYFUNCTION("IMPORTRANGE(""https://docs.google.com/spreadsheets/d/1SX6NBoVAgQJ6U1MVXOaj8PK2l7WJ3RER9xtqwdhxkhw/edit?usp=sharing"",""นครปฐม!M478"")"),0)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IFERROR(__xludf.DUMMYFUNCTION("IMPORTRANGE(""https://docs.google.com/spreadsheets/d/1SX6NBoVAgQJ6U1MVXOaj8PK2l7WJ3RER9xtqwdhxkhw/edit?usp=sharing"",""นครปฐม!L479"")"),0)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IFERROR(__xludf.DUMMYFUNCTION("IMPORTRANGE(""https://docs.google.com/spreadsheets/d/1SX6NBoVAgQJ6U1MVXOaj8PK2l7WJ3RER9xtqwdhxkhw/edit?usp=sharing"",""นครปฐม!M479"")"),0)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IFERROR(__xludf.DUMMYFUNCTION("IMPORTRANGE(""https://docs.google.com/spreadsheets/d/1SX6NBoVAgQJ6U1MVXOaj8PK2l7WJ3RER9xtqwdhxkhw/edit?usp=sharing"",""นครปฐม!M480"")"),0)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IFERROR(__xludf.DUMMYFUNCTION("IMPORTRANGE(""https://docs.google.com/spreadsheets/d/1SX6NBoVAgQJ6U1MVXOaj8PK2l7WJ3RER9xtqwdhxkhw/edit?usp=sharing"",""นครปฐม!M481"")"),0)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IFERROR(__xludf.DUMMYFUNCTION("IMPORTRANGE(""https://docs.google.com/spreadsheets/d/1SX6NBoVAgQJ6U1MVXOaj8PK2l7WJ3RER9xtqwdhxkhw/edit?usp=sharing"",""นครปฐม!M482"")"),0)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IFERROR(__xludf.DUMMYFUNCTION("IMPORTRANGE(""https://docs.google.com/spreadsheets/d/1SX6NBoVAgQJ6U1MVXOaj8PK2l7WJ3RER9xtqwdhxkhw/edit?usp=sharing"",""นครปฐม!M483"")"),0)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IFERROR(__xludf.DUMMYFUNCTION("IMPORTRANGE(""https://docs.google.com/spreadsheets/d/1SX6NBoVAgQJ6U1MVXOaj8PK2l7WJ3RER9xtqwdhxkhw/edit?usp=sharing"",""นครปฐม!I484"")"),0)</f>
        <v>0</v>
      </c>
      <c r="J589" s="188">
        <f ca="1">IFERROR(__xludf.DUMMYFUNCTION("IMPORTRANGE(""https://docs.google.com/spreadsheets/d/1SX6NBoVAgQJ6U1MVXOaj8PK2l7WJ3RER9xtqwdhxkhw/edit?usp=sharing"",""นครปฐม!J484"")"),0)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IFERROR(__xludf.DUMMYFUNCTION("IMPORTRANGE(""https://docs.google.com/spreadsheets/d/1SX6NBoVAgQJ6U1MVXOaj8PK2l7WJ3RER9xtqwdhxkhw/edit?usp=sharing"",""นครปฐม!I485"")"),0)</f>
        <v>0</v>
      </c>
      <c r="J590" s="188">
        <f ca="1">IFERROR(__xludf.DUMMYFUNCTION("IMPORTRANGE(""https://docs.google.com/spreadsheets/d/1SX6NBoVAgQJ6U1MVXOaj8PK2l7WJ3RER9xtqwdhxkhw/edit?usp=sharing"",""นครปฐม!J485"")"),0)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IFERROR(__xludf.DUMMYFUNCTION("IMPORTRANGE(""https://docs.google.com/spreadsheets/d/1SX6NBoVAgQJ6U1MVXOaj8PK2l7WJ3RER9xtqwdhxkhw/edit?usp=sharing"",""นครปฐม!I486"")"),0)</f>
        <v>0</v>
      </c>
      <c r="J591" s="188">
        <f ca="1">IFERROR(__xludf.DUMMYFUNCTION("IMPORTRANGE(""https://docs.google.com/spreadsheets/d/1SX6NBoVAgQJ6U1MVXOaj8PK2l7WJ3RER9xtqwdhxkhw/edit?usp=sharing"",""นครปฐม!J486"")"),0)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IFERROR(__xludf.DUMMYFUNCTION("IMPORTRANGE(""https://docs.google.com/spreadsheets/d/1SX6NBoVAgQJ6U1MVXOaj8PK2l7WJ3RER9xtqwdhxkhw/edit?usp=sharing"",""นครปฐม!I487"")"),0)</f>
        <v>0</v>
      </c>
      <c r="J592" s="188">
        <f ca="1">IFERROR(__xludf.DUMMYFUNCTION("IMPORTRANGE(""https://docs.google.com/spreadsheets/d/1SX6NBoVAgQJ6U1MVXOaj8PK2l7WJ3RER9xtqwdhxkhw/edit?usp=sharing"",""นครปฐม!J487"")"),0)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IFERROR(__xludf.DUMMYFUNCTION("IMPORTRANGE(""https://docs.google.com/spreadsheets/d/1SX6NBoVAgQJ6U1MVXOaj8PK2l7WJ3RER9xtqwdhxkhw/edit?usp=sharing"",""นครปฐม!I488"")"),0)</f>
        <v>0</v>
      </c>
      <c r="J593" s="188">
        <f ca="1">IFERROR(__xludf.DUMMYFUNCTION("IMPORTRANGE(""https://docs.google.com/spreadsheets/d/1SX6NBoVAgQJ6U1MVXOaj8PK2l7WJ3RER9xtqwdhxkhw/edit?usp=sharing"",""นครปฐม!J488"")"),0)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IFERROR(__xludf.DUMMYFUNCTION("IMPORTRANGE(""https://docs.google.com/spreadsheets/d/1SX6NBoVAgQJ6U1MVXOaj8PK2l7WJ3RER9xtqwdhxkhw/edit?usp=sharing"",""นครปฐม!I489"")"),0)</f>
        <v>0</v>
      </c>
      <c r="J594" s="188">
        <f ca="1">IFERROR(__xludf.DUMMYFUNCTION("IMPORTRANGE(""https://docs.google.com/spreadsheets/d/1SX6NBoVAgQJ6U1MVXOaj8PK2l7WJ3RER9xtqwdhxkhw/edit?usp=sharing"",""นครปฐม!J489"")"),0)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IFERROR(__xludf.DUMMYFUNCTION("IMPORTRANGE(""https://docs.google.com/spreadsheets/d/1SX6NBoVAgQJ6U1MVXOaj8PK2l7WJ3RER9xtqwdhxkhw/edit?usp=sharing"",""นครปฐม!I490"")"),0)</f>
        <v>0</v>
      </c>
      <c r="J595" s="188">
        <f ca="1">IFERROR(__xludf.DUMMYFUNCTION("IMPORTRANGE(""https://docs.google.com/spreadsheets/d/1SX6NBoVAgQJ6U1MVXOaj8PK2l7WJ3RER9xtqwdhxkhw/edit?usp=sharing"",""นครปฐม!J490"")"),0)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IFERROR(__xludf.DUMMYFUNCTION("IMPORTRANGE(""https://docs.google.com/spreadsheets/d/1SX6NBoVAgQJ6U1MVXOaj8PK2l7WJ3RER9xtqwdhxkhw/edit?usp=sharing"",""นครปฐม!I491"")"),0)</f>
        <v>0</v>
      </c>
      <c r="J596" s="241">
        <f ca="1">IFERROR(__xludf.DUMMYFUNCTION("IMPORTRANGE(""https://docs.google.com/spreadsheets/d/1SX6NBoVAgQJ6U1MVXOaj8PK2l7WJ3RER9xtqwdhxkhw/edit?usp=sharing"",""นครปฐม!J491"")"),0)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IFERROR(__xludf.DUMMYFUNCTION("IMPORTRANGE(""https://docs.google.com/spreadsheets/d/1SX6NBoVAgQJ6U1MVXOaj8PK2l7WJ3RER9xtqwdhxkhw/edit?usp=sharing"",""นครปฐม!I492"")"),50)</f>
        <v>50</v>
      </c>
      <c r="J597" s="487">
        <f ca="1">IFERROR(__xludf.DUMMYFUNCTION("IMPORTRANGE(""https://docs.google.com/spreadsheets/d/1SX6NBoVAgQJ6U1MVXOaj8PK2l7WJ3RER9xtqwdhxkhw/edit?usp=sharing"",""นครปฐม!J492"")"),0)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IFERROR(__xludf.DUMMYFUNCTION("IMPORTRANGE(""https://docs.google.com/spreadsheets/d/1SX6NBoVAgQJ6U1MVXOaj8PK2l7WJ3RER9xtqwdhxkhw/edit?usp=sharing"",""นครปฐม!L492"")"),4550)</f>
        <v>4550</v>
      </c>
      <c r="M597" s="412"/>
      <c r="N597" s="412">
        <f ca="1">IFERROR(__xludf.DUMMYFUNCTION("IMPORTRANGE(""https://docs.google.com/spreadsheets/d/1SX6NBoVAgQJ6U1MVXOaj8PK2l7WJ3RER9xtqwdhxkhw/edit?usp=sharing"",""นครปฐม!M492"")"),400)</f>
        <v>400</v>
      </c>
      <c r="O597" s="412">
        <f t="shared" ref="O597:O601" ca="1" si="126">+IF(L597&gt;0,N597*100/L597,0)</f>
        <v>8.791208791208792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IFERROR(__xludf.DUMMYFUNCTION("IMPORTRANGE(""https://docs.google.com/spreadsheets/d/1SX6NBoVAgQJ6U1MVXOaj8PK2l7WJ3RER9xtqwdhxkhw/edit?usp=sharing"",""นครปฐม!L493"")"),0)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IFERROR(__xludf.DUMMYFUNCTION("IMPORTRANGE(""https://docs.google.com/spreadsheets/d/1SX6NBoVAgQJ6U1MVXOaj8PK2l7WJ3RER9xtqwdhxkhw/edit?usp=sharing"",""นครปฐม!M493"")"),0)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IFERROR(__xludf.DUMMYFUNCTION("IMPORTRANGE(""https://docs.google.com/spreadsheets/d/1SX6NBoVAgQJ6U1MVXOaj8PK2l7WJ3RER9xtqwdhxkhw/edit?usp=sharing"",""นครปฐม!L494"")"),4550)</f>
        <v>4550</v>
      </c>
      <c r="M599" s="165"/>
      <c r="N599" s="169">
        <f ca="1">IFERROR(__xludf.DUMMYFUNCTION("IMPORTRANGE(""https://docs.google.com/spreadsheets/d/1SX6NBoVAgQJ6U1MVXOaj8PK2l7WJ3RER9xtqwdhxkhw/edit?usp=sharing"",""นครปฐม!M494"")"),400)</f>
        <v>400</v>
      </c>
      <c r="O599" s="169">
        <f t="shared" ca="1" si="126"/>
        <v>8.791208791208792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IFERROR(__xludf.DUMMYFUNCTION("IMPORTRANGE(""https://docs.google.com/spreadsheets/d/1SX6NBoVAgQJ6U1MVXOaj8PK2l7WJ3RER9xtqwdhxkhw/edit?usp=sharing"",""นครปฐม!L495"")"),0)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IFERROR(__xludf.DUMMYFUNCTION("IMPORTRANGE(""https://docs.google.com/spreadsheets/d/1SX6NBoVAgQJ6U1MVXOaj8PK2l7WJ3RER9xtqwdhxkhw/edit?usp=sharing"",""นครปฐม!M495"")"),0)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IFERROR(__xludf.DUMMYFUNCTION("IMPORTRANGE(""https://docs.google.com/spreadsheets/d/1SX6NBoVAgQJ6U1MVXOaj8PK2l7WJ3RER9xtqwdhxkhw/edit?usp=sharing"",""นครปฐม!L496"")"),4550)</f>
        <v>4550</v>
      </c>
      <c r="M601" s="169"/>
      <c r="N601" s="169">
        <f ca="1">IFERROR(__xludf.DUMMYFUNCTION("IMPORTRANGE(""https://docs.google.com/spreadsheets/d/1SX6NBoVAgQJ6U1MVXOaj8PK2l7WJ3RER9xtqwdhxkhw/edit?usp=sharing"",""นครปฐม!M496"")"),400)</f>
        <v>400</v>
      </c>
      <c r="O601" s="169">
        <f t="shared" ca="1" si="126"/>
        <v>8.791208791208792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IFERROR(__xludf.DUMMYFUNCTION("IMPORTRANGE(""https://docs.google.com/spreadsheets/d/1SX6NBoVAgQJ6U1MVXOaj8PK2l7WJ3RER9xtqwdhxkhw/edit?usp=sharing"",""นครปฐม!M497"")"),0)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IFERROR(__xludf.DUMMYFUNCTION("IMPORTRANGE(""https://docs.google.com/spreadsheets/d/1SX6NBoVAgQJ6U1MVXOaj8PK2l7WJ3RER9xtqwdhxkhw/edit?usp=sharing"",""นครปฐม!M498"")"),0)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IFERROR(__xludf.DUMMYFUNCTION("IMPORTRANGE(""https://docs.google.com/spreadsheets/d/1SX6NBoVAgQJ6U1MVXOaj8PK2l7WJ3RER9xtqwdhxkhw/edit?usp=sharing"",""นครปฐม!M499"")"),400)</f>
        <v>400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IFERROR(__xludf.DUMMYFUNCTION("IMPORTRANGE(""https://docs.google.com/spreadsheets/d/1SX6NBoVAgQJ6U1MVXOaj8PK2l7WJ3RER9xtqwdhxkhw/edit?usp=sharing"",""นครปฐม!M500"")"),0)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IFERROR(__xludf.DUMMYFUNCTION("IMPORTRANGE(""https://docs.google.com/spreadsheets/d/1SX6NBoVAgQJ6U1MVXOaj8PK2l7WJ3RER9xtqwdhxkhw/edit?usp=sharing"",""นครปฐม!J502"")"),0)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IFERROR(__xludf.DUMMYFUNCTION("IMPORTRANGE(""https://docs.google.com/spreadsheets/d/1SX6NBoVAgQJ6U1MVXOaj8PK2l7WJ3RER9xtqwdhxkhw/edit?usp=sharing"",""นครปฐม!J503"")"),1)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IFERROR(__xludf.DUMMYFUNCTION("IMPORTRANGE(""https://docs.google.com/spreadsheets/d/1SX6NBoVAgQJ6U1MVXOaj8PK2l7WJ3RER9xtqwdhxkhw/edit?usp=sharing"",""นครปฐม!J166"")"),0)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IFERROR(__xludf.DUMMYFUNCTION("IMPORTRANGE(""https://docs.google.com/spreadsheets/d/1SX6NBoVAgQJ6U1MVXOaj8PK2l7WJ3RER9xtqwdhxkhw/edit?usp=sharing"",""นครปฐม!J166"")"),0)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IFERROR(__xludf.DUMMYFUNCTION("IMPORTRANGE(""https://docs.google.com/spreadsheets/d/1SX6NBoVAgQJ6U1MVXOaj8PK2l7WJ3RER9xtqwdhxkhw/edit?usp=sharing"",""นครปฐม!I506"")"),50)</f>
        <v>50</v>
      </c>
      <c r="J611" s="162">
        <f ca="1">IFERROR(__xludf.DUMMYFUNCTION("IMPORTRANGE(""https://docs.google.com/spreadsheets/d/1SX6NBoVAgQJ6U1MVXOaj8PK2l7WJ3RER9xtqwdhxkhw/edit?usp=sharing"",""นครปฐม!J506"")"),0)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IFERROR(__xludf.DUMMYFUNCTION("IMPORTRANGE(""https://docs.google.com/spreadsheets/d/1SX6NBoVAgQJ6U1MVXOaj8PK2l7WJ3RER9xtqwdhxkhw/edit?usp=sharing"",""นครปฐม!I507"")"),0)</f>
        <v>0</v>
      </c>
      <c r="J612" s="198">
        <f ca="1">IFERROR(__xludf.DUMMYFUNCTION("IMPORTRANGE(""https://docs.google.com/spreadsheets/d/1SX6NBoVAgQJ6U1MVXOaj8PK2l7WJ3RER9xtqwdhxkhw/edit?usp=sharing"",""นครปฐม!J507"")"),0)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IFERROR(__xludf.DUMMYFUNCTION("IMPORTRANGE(""https://docs.google.com/spreadsheets/d/1SX6NBoVAgQJ6U1MVXOaj8PK2l7WJ3RER9xtqwdhxkhw/edit?usp=sharing"",""นครปฐม!I508"")"),0)</f>
        <v>0</v>
      </c>
      <c r="J613" s="198">
        <f ca="1">IFERROR(__xludf.DUMMYFUNCTION("IMPORTRANGE(""https://docs.google.com/spreadsheets/d/1SX6NBoVAgQJ6U1MVXOaj8PK2l7WJ3RER9xtqwdhxkhw/edit?usp=sharing"",""นครปฐม!J508"")"),0)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IFERROR(__xludf.DUMMYFUNCTION("IMPORTRANGE(""https://docs.google.com/spreadsheets/d/1SX6NBoVAgQJ6U1MVXOaj8PK2l7WJ3RER9xtqwdhxkhw/edit?usp=sharing"",""นครปฐม!I509"")"),0)</f>
        <v>0</v>
      </c>
      <c r="J614" s="198">
        <f ca="1">IFERROR(__xludf.DUMMYFUNCTION("IMPORTRANGE(""https://docs.google.com/spreadsheets/d/1SX6NBoVAgQJ6U1MVXOaj8PK2l7WJ3RER9xtqwdhxkhw/edit?usp=sharing"",""นครปฐม!J509"")"),0)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IFERROR(__xludf.DUMMYFUNCTION("IMPORTRANGE(""https://docs.google.com/spreadsheets/d/1SX6NBoVAgQJ6U1MVXOaj8PK2l7WJ3RER9xtqwdhxkhw/edit?usp=sharing"",""นครปฐม!I510"")"),0)</f>
        <v>0</v>
      </c>
      <c r="J615" s="198">
        <f ca="1">IFERROR(__xludf.DUMMYFUNCTION("IMPORTRANGE(""https://docs.google.com/spreadsheets/d/1SX6NBoVAgQJ6U1MVXOaj8PK2l7WJ3RER9xtqwdhxkhw/edit?usp=sharing"",""นครปฐม!J510"")"),0)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IFERROR(__xludf.DUMMYFUNCTION("IMPORTRANGE(""https://docs.google.com/spreadsheets/d/1SX6NBoVAgQJ6U1MVXOaj8PK2l7WJ3RER9xtqwdhxkhw/edit?usp=sharing"",""นครปฐม!I511"")"),0)</f>
        <v>0</v>
      </c>
      <c r="J616" s="198">
        <f ca="1">IFERROR(__xludf.DUMMYFUNCTION("IMPORTRANGE(""https://docs.google.com/spreadsheets/d/1SX6NBoVAgQJ6U1MVXOaj8PK2l7WJ3RER9xtqwdhxkhw/edit?usp=sharing"",""นครปฐม!J511"")"),0)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IFERROR(__xludf.DUMMYFUNCTION("IMPORTRANGE(""https://docs.google.com/spreadsheets/d/1SX6NBoVAgQJ6U1MVXOaj8PK2l7WJ3RER9xtqwdhxkhw/edit?usp=sharing"",""นครปฐม!I512"")"),0)</f>
        <v>0</v>
      </c>
      <c r="J617" s="188">
        <f ca="1">IFERROR(__xludf.DUMMYFUNCTION("IMPORTRANGE(""https://docs.google.com/spreadsheets/d/1SX6NBoVAgQJ6U1MVXOaj8PK2l7WJ3RER9xtqwdhxkhw/edit?usp=sharing"",""นครปฐม!J512"")"),0)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IFERROR(__xludf.DUMMYFUNCTION("IMPORTRANGE(""https://docs.google.com/spreadsheets/d/1SX6NBoVAgQJ6U1MVXOaj8PK2l7WJ3RER9xtqwdhxkhw/edit?usp=sharing"",""นครปฐม!I513"")"),0)</f>
        <v>0</v>
      </c>
      <c r="J618" s="189">
        <f ca="1">IFERROR(__xludf.DUMMYFUNCTION("IMPORTRANGE(""https://docs.google.com/spreadsheets/d/1SX6NBoVAgQJ6U1MVXOaj8PK2l7WJ3RER9xtqwdhxkhw/edit?usp=sharing"",""นครปฐม!J513"")"),0)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IFERROR(__xludf.DUMMYFUNCTION("IMPORTRANGE(""https://docs.google.com/spreadsheets/d/1SX6NBoVAgQJ6U1MVXOaj8PK2l7WJ3RER9xtqwdhxkhw/edit?usp=sharing"",""นครปฐม!I514"")"),0)</f>
        <v>0</v>
      </c>
      <c r="J619" s="189">
        <f ca="1">IFERROR(__xludf.DUMMYFUNCTION("IMPORTRANGE(""https://docs.google.com/spreadsheets/d/1SX6NBoVAgQJ6U1MVXOaj8PK2l7WJ3RER9xtqwdhxkhw/edit?usp=sharing"",""นครปฐม!J514"")"),0)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IFERROR(__xludf.DUMMYFUNCTION("IMPORTRANGE(""https://docs.google.com/spreadsheets/d/1SX6NBoVAgQJ6U1MVXOaj8PK2l7WJ3RER9xtqwdhxkhw/edit?usp=sharing"",""นครปฐม!I515"")"),0)</f>
        <v>0</v>
      </c>
      <c r="J620" s="203">
        <f ca="1">IFERROR(__xludf.DUMMYFUNCTION("IMPORTRANGE(""https://docs.google.com/spreadsheets/d/1SX6NBoVAgQJ6U1MVXOaj8PK2l7WJ3RER9xtqwdhxkhw/edit?usp=sharing"",""นครปฐม!J515"")"),0)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IFERROR(__xludf.DUMMYFUNCTION("IMPORTRANGE(""https://docs.google.com/spreadsheets/d/1SX6NBoVAgQJ6U1MVXOaj8PK2l7WJ3RER9xtqwdhxkhw/edit?usp=sharing"",""นครปฐม!I516"")"),0)</f>
        <v>0</v>
      </c>
      <c r="J621" s="203">
        <f ca="1">IFERROR(__xludf.DUMMYFUNCTION("IMPORTRANGE(""https://docs.google.com/spreadsheets/d/1SX6NBoVAgQJ6U1MVXOaj8PK2l7WJ3RER9xtqwdhxkhw/edit?usp=sharing"",""นครปฐม!J516"")"),0)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IFERROR(__xludf.DUMMYFUNCTION("IMPORTRANGE(""https://docs.google.com/spreadsheets/d/1SX6NBoVAgQJ6U1MVXOaj8PK2l7WJ3RER9xtqwdhxkhw/edit?usp=sharing"",""นครปฐม!I517"")"),0)</f>
        <v>0</v>
      </c>
      <c r="J622" s="189">
        <f ca="1">IFERROR(__xludf.DUMMYFUNCTION("IMPORTRANGE(""https://docs.google.com/spreadsheets/d/1SX6NBoVAgQJ6U1MVXOaj8PK2l7WJ3RER9xtqwdhxkhw/edit?usp=sharing"",""นครปฐม!J517"")"),0)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IFERROR(__xludf.DUMMYFUNCTION("IMPORTRANGE(""https://docs.google.com/spreadsheets/d/1SX6NBoVAgQJ6U1MVXOaj8PK2l7WJ3RER9xtqwdhxkhw/edit?usp=sharing"",""นครปฐม!I518"")"),0)</f>
        <v>0</v>
      </c>
      <c r="J623" s="189">
        <f ca="1">IFERROR(__xludf.DUMMYFUNCTION("IMPORTRANGE(""https://docs.google.com/spreadsheets/d/1SX6NBoVAgQJ6U1MVXOaj8PK2l7WJ3RER9xtqwdhxkhw/edit?usp=sharing"",""นครปฐม!J518"")"),0)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IFERROR(__xludf.DUMMYFUNCTION("IMPORTRANGE(""https://docs.google.com/spreadsheets/d/1SX6NBoVAgQJ6U1MVXOaj8PK2l7WJ3RER9xtqwdhxkhw/edit?usp=sharing"",""นครปฐม!I519"")"),0)</f>
        <v>0</v>
      </c>
      <c r="J624" s="188">
        <f ca="1">IFERROR(__xludf.DUMMYFUNCTION("IMPORTRANGE(""https://docs.google.com/spreadsheets/d/1SX6NBoVAgQJ6U1MVXOaj8PK2l7WJ3RER9xtqwdhxkhw/edit?usp=sharing"",""นครปฐม!J519"")"),0)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IFERROR(__xludf.DUMMYFUNCTION("IMPORTRANGE(""https://docs.google.com/spreadsheets/d/1SX6NBoVAgQJ6U1MVXOaj8PK2l7WJ3RER9xtqwdhxkhw/edit?usp=sharing"",""นครปฐม!I520"")"),0)</f>
        <v>0</v>
      </c>
      <c r="J625" s="189">
        <f ca="1">IFERROR(__xludf.DUMMYFUNCTION("IMPORTRANGE(""https://docs.google.com/spreadsheets/d/1SX6NBoVAgQJ6U1MVXOaj8PK2l7WJ3RER9xtqwdhxkhw/edit?usp=sharing"",""นครปฐม!J520"")"),0)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IFERROR(__xludf.DUMMYFUNCTION("IMPORTRANGE(""https://docs.google.com/spreadsheets/d/1SX6NBoVAgQJ6U1MVXOaj8PK2l7WJ3RER9xtqwdhxkhw/edit?usp=sharing"",""นครปฐม!I521"")"),0)</f>
        <v>0</v>
      </c>
      <c r="J626" s="189">
        <f ca="1">IFERROR(__xludf.DUMMYFUNCTION("IMPORTRANGE(""https://docs.google.com/spreadsheets/d/1SX6NBoVAgQJ6U1MVXOaj8PK2l7WJ3RER9xtqwdhxkhw/edit?usp=sharing"",""นครปฐม!J521"")"),0)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IFERROR(__xludf.DUMMYFUNCTION("IMPORTRANGE(""https://docs.google.com/spreadsheets/d/1SX6NBoVAgQJ6U1MVXOaj8PK2l7WJ3RER9xtqwdhxkhw/edit?usp=sharing"",""นครปฐม!I523"")"),3160000)</f>
        <v>3160000</v>
      </c>
      <c r="J628" s="341">
        <f ca="1">IFERROR(__xludf.DUMMYFUNCTION("IMPORTRANGE(""https://docs.google.com/spreadsheets/d/1SX6NBoVAgQJ6U1MVXOaj8PK2l7WJ3RER9xtqwdhxkhw/edit?usp=sharing"",""นครปฐม!J523"")"),8000)</f>
        <v>8000</v>
      </c>
      <c r="K628" s="342">
        <f t="shared" ref="K628:K635" ca="1" si="129">IF(I628&gt;0,J628*100/I628,0)</f>
        <v>0.25316455696202533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IFERROR(__xludf.DUMMYFUNCTION("IMPORTRANGE(""https://docs.google.com/spreadsheets/d/1SX6NBoVAgQJ6U1MVXOaj8PK2l7WJ3RER9xtqwdhxkhw/edit?usp=sharing"",""นครปฐม!I524"")"),70)</f>
        <v>70</v>
      </c>
      <c r="J629" s="341">
        <f ca="1">IFERROR(__xludf.DUMMYFUNCTION("IMPORTRANGE(""https://docs.google.com/spreadsheets/d/1SX6NBoVAgQJ6U1MVXOaj8PK2l7WJ3RER9xtqwdhxkhw/edit?usp=sharing"",""นครปฐม!J524"")"),1)</f>
        <v>1</v>
      </c>
      <c r="K629" s="342">
        <f t="shared" ca="1" si="129"/>
        <v>1.4285714285714286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IFERROR(__xludf.DUMMYFUNCTION("IMPORTRANGE(""https://docs.google.com/spreadsheets/d/1SX6NBoVAgQJ6U1MVXOaj8PK2l7WJ3RER9xtqwdhxkhw/edit?usp=sharing"",""นครปฐม!I525"")"),1274944.38)</f>
        <v>1274944.3799999999</v>
      </c>
      <c r="J630" s="341">
        <f ca="1">IFERROR(__xludf.DUMMYFUNCTION("IMPORTRANGE(""https://docs.google.com/spreadsheets/d/1SX6NBoVAgQJ6U1MVXOaj8PK2l7WJ3RER9xtqwdhxkhw/edit?usp=sharing"",""นครปฐม!J525"")"),370583.94)</f>
        <v>370583.94</v>
      </c>
      <c r="K630" s="342">
        <f t="shared" ca="1" si="129"/>
        <v>29.066675049777469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IFERROR(__xludf.DUMMYFUNCTION("IMPORTRANGE(""https://docs.google.com/spreadsheets/d/1SX6NBoVAgQJ6U1MVXOaj8PK2l7WJ3RER9xtqwdhxkhw/edit?usp=sharing"",""นครปฐม!I526"")"),31)</f>
        <v>31</v>
      </c>
      <c r="J631" s="341">
        <f ca="1">IFERROR(__xludf.DUMMYFUNCTION("IMPORTRANGE(""https://docs.google.com/spreadsheets/d/1SX6NBoVAgQJ6U1MVXOaj8PK2l7WJ3RER9xtqwdhxkhw/edit?usp=sharing"",""นครปฐม!J526"")"),30)</f>
        <v>30</v>
      </c>
      <c r="K631" s="342">
        <f t="shared" ca="1" si="129"/>
        <v>96.774193548387103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IFERROR(__xludf.DUMMYFUNCTION("IMPORTRANGE(""https://docs.google.com/spreadsheets/d/1SX6NBoVAgQJ6U1MVXOaj8PK2l7WJ3RER9xtqwdhxkhw/edit?usp=sharing"",""นครปฐม!I527"")"),527836.61)</f>
        <v>527836.61</v>
      </c>
      <c r="J632" s="341">
        <f ca="1">IFERROR(__xludf.DUMMYFUNCTION("IMPORTRANGE(""https://docs.google.com/spreadsheets/d/1SX6NBoVAgQJ6U1MVXOaj8PK2l7WJ3RER9xtqwdhxkhw/edit?usp=sharing"",""นครปฐม!J527"")"),25506.75)</f>
        <v>25506.75</v>
      </c>
      <c r="K632" s="342">
        <f t="shared" ca="1" si="129"/>
        <v>4.8323192284824659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IFERROR(__xludf.DUMMYFUNCTION("IMPORTRANGE(""https://docs.google.com/spreadsheets/d/1SX6NBoVAgQJ6U1MVXOaj8PK2l7WJ3RER9xtqwdhxkhw/edit?usp=sharing"",""นครปฐม!I528"")"),262)</f>
        <v>262</v>
      </c>
      <c r="J633" s="341">
        <f ca="1">IFERROR(__xludf.DUMMYFUNCTION("IMPORTRANGE(""https://docs.google.com/spreadsheets/d/1SX6NBoVAgQJ6U1MVXOaj8PK2l7WJ3RER9xtqwdhxkhw/edit?usp=sharing"",""นครปฐม!J528"")"),7)</f>
        <v>7</v>
      </c>
      <c r="K633" s="342">
        <f t="shared" ca="1" si="129"/>
        <v>2.6717557251908395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IFERROR(__xludf.DUMMYFUNCTION("IMPORTRANGE(""https://docs.google.com/spreadsheets/d/1SX6NBoVAgQJ6U1MVXOaj8PK2l7WJ3RER9xtqwdhxkhw/edit?usp=sharing"",""นครปฐม!I529"")"),4410000)</f>
        <v>4410000</v>
      </c>
      <c r="J634" s="341">
        <f ca="1">IFERROR(__xludf.DUMMYFUNCTION("IMPORTRANGE(""https://docs.google.com/spreadsheets/d/1SX6NBoVAgQJ6U1MVXOaj8PK2l7WJ3RER9xtqwdhxkhw/edit?usp=sharing"",""นครปฐม!J529"")"),0)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IFERROR(__xludf.DUMMYFUNCTION("IMPORTRANGE(""https://docs.google.com/spreadsheets/d/1SX6NBoVAgQJ6U1MVXOaj8PK2l7WJ3RER9xtqwdhxkhw/edit?usp=sharing"",""นครปฐม!I530"")"),94)</f>
        <v>94</v>
      </c>
      <c r="J635" s="504">
        <f ca="1">IFERROR(__xludf.DUMMYFUNCTION("IMPORTRANGE(""https://docs.google.com/spreadsheets/d/1SX6NBoVAgQJ6U1MVXOaj8PK2l7WJ3RER9xtqwdhxkhw/edit?usp=sharing"",""นครปฐม!J530"")"),0)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22</vt:i4>
      </vt:variant>
      <vt:variant>
        <vt:lpstr>ช่วงที่มีชื่อ</vt:lpstr>
      </vt:variant>
      <vt:variant>
        <vt:i4>22</vt:i4>
      </vt:variant>
    </vt:vector>
  </HeadingPairs>
  <TitlesOfParts>
    <vt:vector size="4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เพชรบุรี!Print_Titles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BarbiezZesT Phanumphai</cp:lastModifiedBy>
  <cp:lastPrinted>2022-04-04T15:32:36Z</cp:lastPrinted>
  <dcterms:modified xsi:type="dcterms:W3CDTF">2022-04-04T15:47:28Z</dcterms:modified>
</cp:coreProperties>
</file>